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6492" activeTab="0"/>
  </bookViews>
  <sheets>
    <sheet name="Dec 2016" sheetId="1" r:id="rId1"/>
    <sheet name="Fire Tax -Dec" sheetId="2" r:id="rId2"/>
    <sheet name="Liquid Fuels Dec" sheetId="3" r:id="rId3"/>
    <sheet name="Solid Waste -Dec " sheetId="4" r:id="rId4"/>
    <sheet name="Playground-Dec" sheetId="5" r:id="rId5"/>
    <sheet name="BS -Dec" sheetId="6" r:id="rId6"/>
    <sheet name="Balance Sheet (2)" sheetId="7" r:id="rId7"/>
    <sheet name="Balance Sheet" sheetId="8" r:id="rId8"/>
    <sheet name="Sheet2" sheetId="9" r:id="rId9"/>
    <sheet name="Profit and Loss" sheetId="10" r:id="rId10"/>
    <sheet name="2016 Budget Worksheet" sheetId="11" r:id="rId11"/>
    <sheet name="Sheet1" sheetId="12" r:id="rId12"/>
    <sheet name="Profit and Loss (2)" sheetId="13" r:id="rId13"/>
  </sheets>
  <externalReferences>
    <externalReference r:id="rId16"/>
    <externalReference r:id="rId17"/>
  </externalReferences>
  <definedNames>
    <definedName name="_xlnm.Print_Area" localSheetId="10">'2016 Budget Worksheet'!$A$2:$G$92</definedName>
    <definedName name="_xlnm.Print_Area" localSheetId="5">'BS -Dec'!$A$1:$I$27</definedName>
    <definedName name="_xlnm.Print_Area" localSheetId="0">'Dec 2016'!$A$129:$F$192</definedName>
    <definedName name="_xlnm.Print_Area" localSheetId="1">'Fire Tax -Dec'!$A$1:$C$36</definedName>
    <definedName name="_xlnm.Print_Area" localSheetId="2">'Liquid Fuels Dec'!$A$1:$D$32</definedName>
    <definedName name="_xlnm.Print_Area" localSheetId="4">'Playground-Dec'!$A$1:$D$33</definedName>
    <definedName name="_xlnm.Print_Area" localSheetId="3">'Solid Waste -Dec '!$A$1:$D$38</definedName>
    <definedName name="_xlnm.Print_Titles" localSheetId="10">'2016 Budget Worksheet'!$94:$98</definedName>
  </definedNames>
  <calcPr fullCalcOnLoad="1"/>
</workbook>
</file>

<file path=xl/sharedStrings.xml><?xml version="1.0" encoding="utf-8"?>
<sst xmlns="http://schemas.openxmlformats.org/spreadsheetml/2006/main" count="1032" uniqueCount="607">
  <si>
    <t>Borough of Parryville</t>
  </si>
  <si>
    <t>Treasurer's Report</t>
  </si>
  <si>
    <t>2016</t>
  </si>
  <si>
    <t>Income:</t>
  </si>
  <si>
    <t>Budget</t>
  </si>
  <si>
    <t>Difference</t>
  </si>
  <si>
    <t>Due From General Fund</t>
  </si>
  <si>
    <t>Due To Highway Aid Fund - Fund Transfer</t>
  </si>
  <si>
    <t>Real Estate Taxes - Delinquent</t>
  </si>
  <si>
    <t>(9.25 mills)</t>
  </si>
  <si>
    <t>Real Estate Taxes - Current Year</t>
  </si>
  <si>
    <t>Real Estate Taxes - Current Year - Discount</t>
  </si>
  <si>
    <t>Real Estate Taxes - Penalties</t>
  </si>
  <si>
    <t>Real Estate Taxes - Pr. Yr Levy</t>
  </si>
  <si>
    <t>(  .75 mills)</t>
  </si>
  <si>
    <t>Fire Company Tax - Current Year</t>
  </si>
  <si>
    <t>Fire Company Tax - Current Year - Discount</t>
  </si>
  <si>
    <t>Fire Company Taxes  - Pr. Yr. Levy</t>
  </si>
  <si>
    <t>Fire Company Tax - Penalties</t>
  </si>
  <si>
    <t>Tax Claim Bureau</t>
  </si>
  <si>
    <t>Tax Claim Bureau - Fire Tax</t>
  </si>
  <si>
    <t>Total 12.5</t>
  </si>
  <si>
    <t>Occupational Taxes - Current Year</t>
  </si>
  <si>
    <t>Occupational Taxes - Current Year - Discount</t>
  </si>
  <si>
    <t>Occupational Taxes - Prior Year</t>
  </si>
  <si>
    <t>Occupational Taxes - Penalties</t>
  </si>
  <si>
    <t>Occupational Taxes - Delinquent</t>
  </si>
  <si>
    <t>Per Capita Taxes - Current</t>
  </si>
  <si>
    <t>Per Capita Taxes - Current - Discount</t>
  </si>
  <si>
    <t xml:space="preserve">Per Capita Penalties </t>
  </si>
  <si>
    <t>Per Capita Taxes - Prior Year</t>
  </si>
  <si>
    <t>Per Capita Taxes - Delinquent</t>
  </si>
  <si>
    <t>Real Estate Transfer Tax</t>
  </si>
  <si>
    <t>Earned Income Taxes</t>
  </si>
  <si>
    <t>Occupational Priv. Taxes</t>
  </si>
  <si>
    <t xml:space="preserve">Moving Permits </t>
  </si>
  <si>
    <t>District Magistrate</t>
  </si>
  <si>
    <t>State Police Fines</t>
  </si>
  <si>
    <t>Borough Fines</t>
  </si>
  <si>
    <t>Interest Income</t>
  </si>
  <si>
    <t>Rental Income - Elections/Land</t>
  </si>
  <si>
    <t>PURTA</t>
  </si>
  <si>
    <t>Foreign Fire Tax</t>
  </si>
  <si>
    <t>Alcoholic Beverage License Fee</t>
  </si>
  <si>
    <t>Solid Waste - Current</t>
  </si>
  <si>
    <t>Solid Waste - Delinquent</t>
  </si>
  <si>
    <t>Zoning/Building Permits</t>
  </si>
  <si>
    <t>Sale of Maps and Publications</t>
  </si>
  <si>
    <t>Permits - Bldgs/Roads</t>
  </si>
  <si>
    <t xml:space="preserve">Sewage Permit &amp; Testing Fees </t>
  </si>
  <si>
    <t>Uniform Construction Code Permits</t>
  </si>
  <si>
    <t>Sale of Materials</t>
  </si>
  <si>
    <t>Miscellaneous</t>
  </si>
  <si>
    <t>Contributions from Private Sources</t>
  </si>
  <si>
    <t>Liquid Fuels - Interest Income</t>
  </si>
  <si>
    <t>Liquid Fuels Allocation</t>
  </si>
  <si>
    <t>Pending</t>
  </si>
  <si>
    <t xml:space="preserve">Total Income </t>
  </si>
  <si>
    <t>Expenses:</t>
  </si>
  <si>
    <t xml:space="preserve">Council </t>
  </si>
  <si>
    <t>Code Enforcement Officer Fees</t>
  </si>
  <si>
    <t>Council Salaries</t>
  </si>
  <si>
    <t>Borough Council - Dues/Seminars</t>
  </si>
  <si>
    <t>Borough Council - Training</t>
  </si>
  <si>
    <t>Tablet Replacement</t>
  </si>
  <si>
    <t>Mayor</t>
  </si>
  <si>
    <t>Mayor Salaries</t>
  </si>
  <si>
    <t>Mayor - Dues/Seminars</t>
  </si>
  <si>
    <t>Audit Fees</t>
  </si>
  <si>
    <t>Tax Collections</t>
  </si>
  <si>
    <t>Tax Collector Commission</t>
  </si>
  <si>
    <t>EIT Commission</t>
  </si>
  <si>
    <t>Tax Collector - Training</t>
  </si>
  <si>
    <t>Tax Collector -Supplies</t>
  </si>
  <si>
    <t>Legal Fees</t>
  </si>
  <si>
    <t>Legal Fees - Borough Solicitor</t>
  </si>
  <si>
    <t>Legal Fees - Zoning Hearing Board</t>
  </si>
  <si>
    <t>Secretary/Treasurer</t>
  </si>
  <si>
    <t>Borough Secretary Salary</t>
  </si>
  <si>
    <t>Borough Secretary - Blackberry Access</t>
  </si>
  <si>
    <t xml:space="preserve">QuickBooks </t>
  </si>
  <si>
    <t>Office Supplies/Materials</t>
  </si>
  <si>
    <t>Computer/Copier Supplies</t>
  </si>
  <si>
    <t>Secretary - Postage</t>
  </si>
  <si>
    <t>Advertising/Printing</t>
  </si>
  <si>
    <t>Borough Secretary Bond</t>
  </si>
  <si>
    <t>Engineering</t>
  </si>
  <si>
    <t xml:space="preserve">Engineering Fees - General </t>
  </si>
  <si>
    <t>Engineering Fees - 537 Plan</t>
  </si>
  <si>
    <t>Engineering Fees - Salt Shed</t>
  </si>
  <si>
    <t>Engineering Fees - Planning Commission</t>
  </si>
  <si>
    <t>Engineering Fees - Road Project</t>
  </si>
  <si>
    <t>Engineering Fees - MS4</t>
  </si>
  <si>
    <t>Municipal Building</t>
  </si>
  <si>
    <t>Telephone Services</t>
  </si>
  <si>
    <t>Internet Fees</t>
  </si>
  <si>
    <t>Website Hosting, Design &amp; Updates</t>
  </si>
  <si>
    <t>Electric</t>
  </si>
  <si>
    <t>Heat</t>
  </si>
  <si>
    <t>Borough Hall - Maintenance &amp; Repairs</t>
  </si>
  <si>
    <t>Borough Hall - Supplies</t>
  </si>
  <si>
    <t>Capital Construction</t>
  </si>
  <si>
    <t>Computer - IT Expense</t>
  </si>
  <si>
    <t>Borough Hall - Furniture</t>
  </si>
  <si>
    <t>Fire and Public Safety</t>
  </si>
  <si>
    <t>Communication Center - 911</t>
  </si>
  <si>
    <t>Fire Company - Expenses Submitted</t>
  </si>
  <si>
    <t>Fire Company - Workers Compensation</t>
  </si>
  <si>
    <t>Foreign Fire Insurance - Expense</t>
  </si>
  <si>
    <t>400-414</t>
  </si>
  <si>
    <t>Enforcement</t>
  </si>
  <si>
    <t>Zoning Officer Fees</t>
  </si>
  <si>
    <t>Zoning Hearing Board Expenses</t>
  </si>
  <si>
    <t>Planning Commission Expenses</t>
  </si>
  <si>
    <t>Sewage Enforcement Officer Fees</t>
  </si>
  <si>
    <t>Building Code Enforcement Fees</t>
  </si>
  <si>
    <t>Sanitation</t>
  </si>
  <si>
    <t>Waste Removal - per contract</t>
  </si>
  <si>
    <t>Bad Debts - Solid Waste Accts</t>
  </si>
  <si>
    <t>Recycling Contract</t>
  </si>
  <si>
    <t>Civil Complaint Filing Fees - Garbage</t>
  </si>
  <si>
    <t>Collection Agency Commission</t>
  </si>
  <si>
    <t>Public Works</t>
  </si>
  <si>
    <t>Munibilling Fees</t>
  </si>
  <si>
    <t>PW- Borough Workers Wages - PT</t>
  </si>
  <si>
    <t>Cleaning of Streets &amp; Gutters - Contracted</t>
  </si>
  <si>
    <t>Borough Workers - Supplies</t>
  </si>
  <si>
    <t>Street/Alley Repair</t>
  </si>
  <si>
    <t>Borough Equipment - Fuel</t>
  </si>
  <si>
    <t>Snow Removal - Contracted Services</t>
  </si>
  <si>
    <t>Materials - Roads</t>
  </si>
  <si>
    <t>Minor Equipment Repairs</t>
  </si>
  <si>
    <t>Vehicle Repairs</t>
  </si>
  <si>
    <t>Capital Equipment Purchase</t>
  </si>
  <si>
    <t>Street Lights</t>
  </si>
  <si>
    <t>Street Lights - PPL</t>
  </si>
  <si>
    <t>Debt Services</t>
  </si>
  <si>
    <t>Truck Lease Payments</t>
  </si>
  <si>
    <t>Road Repair Loan - Principal</t>
  </si>
  <si>
    <t>Road Repair Loan - Interest</t>
  </si>
  <si>
    <t>Insurance</t>
  </si>
  <si>
    <t>Worker's Compensation Insurance</t>
  </si>
  <si>
    <t>Public Officials Insurance</t>
  </si>
  <si>
    <t>Vehicle &amp; Property Insurance</t>
  </si>
  <si>
    <t>Contracted Services</t>
  </si>
  <si>
    <t>Contract Services - Grass Cutting</t>
  </si>
  <si>
    <t>Contract Services - Weed Spraying</t>
  </si>
  <si>
    <t>Recreation</t>
  </si>
  <si>
    <t>Park - Operating Supplies</t>
  </si>
  <si>
    <t xml:space="preserve">Equipment Replacement </t>
  </si>
  <si>
    <t>Donations &amp; Contributions</t>
  </si>
  <si>
    <t>K-9 Annual Donation</t>
  </si>
  <si>
    <t>Lehighton Library Annual Donation</t>
  </si>
  <si>
    <t>United Vets - Annual Donation</t>
  </si>
  <si>
    <t>Parryville Band - Annual Donation</t>
  </si>
  <si>
    <t>Lehigh Canal Commission Donation</t>
  </si>
  <si>
    <t>State Aid</t>
  </si>
  <si>
    <t xml:space="preserve">Liquid Fuels Expense </t>
  </si>
  <si>
    <t>Miscellaneous Expense</t>
  </si>
  <si>
    <t>Bank Fees</t>
  </si>
  <si>
    <t>480-483</t>
  </si>
  <si>
    <t>Employer Expenses</t>
  </si>
  <si>
    <t>Payroll Taxes - Employer</t>
  </si>
  <si>
    <t>Employer - UC Charges</t>
  </si>
  <si>
    <t>Repayment Plan - Liquid Fuels</t>
  </si>
  <si>
    <t xml:space="preserve">Total Expenses </t>
  </si>
  <si>
    <t>Net (Income)/Loss</t>
  </si>
  <si>
    <t>Approved On:</t>
  </si>
  <si>
    <t xml:space="preserve">   Motion By:</t>
  </si>
  <si>
    <t xml:space="preserve">   Second By:</t>
  </si>
  <si>
    <t>Parryville Borough</t>
  </si>
  <si>
    <t>Fire Protection - Special Purpose Millage - Fund Balance</t>
  </si>
  <si>
    <t>Profit and Loss</t>
  </si>
  <si>
    <t>Total</t>
  </si>
  <si>
    <t>Income</t>
  </si>
  <si>
    <t xml:space="preserve">   Real Estate Taxes - Fire Tax</t>
  </si>
  <si>
    <t xml:space="preserve">   Real Estate Taxes - Fire Tax - Discount</t>
  </si>
  <si>
    <t xml:space="preserve">   Prior Year -RE Taxes - Fire Tax</t>
  </si>
  <si>
    <t xml:space="preserve">   Tax Claim Bureau - Fire Tax</t>
  </si>
  <si>
    <t xml:space="preserve">   Volunteer Fire Relief</t>
  </si>
  <si>
    <t xml:space="preserve">   Interest Income - Fire Tax</t>
  </si>
  <si>
    <t>Total Income</t>
  </si>
  <si>
    <t>Expenses</t>
  </si>
  <si>
    <t xml:space="preserve">   Parryville Fire Company - Insurance Expenses</t>
  </si>
  <si>
    <t xml:space="preserve">   Parryville Fire Company - Workers Compensation Charges</t>
  </si>
  <si>
    <t>Total Expenses</t>
  </si>
  <si>
    <t>Net Operating Income/(Loss)</t>
  </si>
  <si>
    <t>Fire Protection Fund Reconciliation</t>
  </si>
  <si>
    <t>Due To General Fund From Fire Tax Fund</t>
  </si>
  <si>
    <t>Due To Fire Tax Fund From General Fund</t>
  </si>
  <si>
    <t>B.1</t>
  </si>
  <si>
    <t xml:space="preserve">   Comprised of:</t>
  </si>
  <si>
    <t xml:space="preserve">      Cash on hand, beginning of year</t>
  </si>
  <si>
    <t xml:space="preserve">      Prior Year - Expenses In Excess Of Revenue - General Fund</t>
  </si>
  <si>
    <t xml:space="preserve">      Revenues collected in current year</t>
  </si>
  <si>
    <t xml:space="preserve">      Expenditures in current year</t>
  </si>
  <si>
    <t xml:space="preserve">     Cash Balance, ending</t>
  </si>
  <si>
    <t>State Highway Aid - Fund Balance</t>
  </si>
  <si>
    <t xml:space="preserve">   Liquid Fuels Annual Allocation</t>
  </si>
  <si>
    <t xml:space="preserve">   Liquid Fuels Repayment Plan</t>
  </si>
  <si>
    <t xml:space="preserve">   Interest Income - Liquid Fuels</t>
  </si>
  <si>
    <t xml:space="preserve">   Liquid Fuels Expenses</t>
  </si>
  <si>
    <t>State Highway Aid Fund Reconciliation</t>
  </si>
  <si>
    <t>Due To General Fund From Highway Aid Fund</t>
  </si>
  <si>
    <t>Due To Highway Aid Fund From General Fund</t>
  </si>
  <si>
    <t>C.1</t>
  </si>
  <si>
    <t xml:space="preserve">     Expenditures in current year</t>
  </si>
  <si>
    <t>Solid Waste - Fund Balance</t>
  </si>
  <si>
    <t xml:space="preserve">   Solid Waste - Current Year Collections</t>
  </si>
  <si>
    <t xml:space="preserve">   Solid Waste - Deliquent Collections</t>
  </si>
  <si>
    <t xml:space="preserve">   Solid Waste - Interest Income</t>
  </si>
  <si>
    <t xml:space="preserve">   Solid Waste - Service Contract Fees  (Paid From General Funds)</t>
  </si>
  <si>
    <t xml:space="preserve">   Solid Waste - Service Contract Fees  (Paid From Solid Waste Fund)</t>
  </si>
  <si>
    <t xml:space="preserve">   Recycling </t>
  </si>
  <si>
    <t xml:space="preserve">   Solid Waste - Bad Debt Expense</t>
  </si>
  <si>
    <t xml:space="preserve">   Solid Waste - Legal Fees</t>
  </si>
  <si>
    <t xml:space="preserve">   Solid Waste - Court Filing Fees</t>
  </si>
  <si>
    <t xml:space="preserve">   Solid Waste - Collection Agency Fees</t>
  </si>
  <si>
    <t>Solid Waste Fund Reconciliation</t>
  </si>
  <si>
    <t>Due To General Fund From Solid Waste Fund</t>
  </si>
  <si>
    <t>Due To Solid Waste From M&amp;T General Fund</t>
  </si>
  <si>
    <t xml:space="preserve">      Prior Year - Collections In Excess Of Expenses - General Fund</t>
  </si>
  <si>
    <t>Playground Replacement Project - Fund Balance</t>
  </si>
  <si>
    <t xml:space="preserve">   Donations From Private Sources</t>
  </si>
  <si>
    <t xml:space="preserve">  Playground Expenses</t>
  </si>
  <si>
    <t>Playground Fund Reconciliation</t>
  </si>
  <si>
    <t>Due To General Fund From Playground Fund</t>
  </si>
  <si>
    <t>Due To Playground Fund From General Fund</t>
  </si>
  <si>
    <t>*</t>
  </si>
  <si>
    <t>E.1</t>
  </si>
  <si>
    <t>Cash Balances</t>
  </si>
  <si>
    <t>Balances</t>
  </si>
  <si>
    <t>Transfer</t>
  </si>
  <si>
    <t>Adjusted Balances</t>
  </si>
  <si>
    <t>Reference</t>
  </si>
  <si>
    <t>PLGIT - General Fund Account</t>
  </si>
  <si>
    <t xml:space="preserve">First Niagara Savings Account </t>
  </si>
  <si>
    <t>PLGIT - Highway Aid</t>
  </si>
  <si>
    <t>M&amp;T - General Fund</t>
  </si>
  <si>
    <t>PLGIT - Fire Tax Account</t>
  </si>
  <si>
    <t>PLGIT - Solid Waste Fund</t>
  </si>
  <si>
    <t>D.1</t>
  </si>
  <si>
    <t>Petty Cash</t>
  </si>
  <si>
    <t>PARRYVILLE BOROUGH - 2016 PRELIMINARY BUDGET - GENERAL FUND REVENUE</t>
  </si>
  <si>
    <t>Revenues</t>
  </si>
  <si>
    <t xml:space="preserve">Increase </t>
  </si>
  <si>
    <t>Account</t>
  </si>
  <si>
    <t>Current</t>
  </si>
  <si>
    <t xml:space="preserve">Year To </t>
  </si>
  <si>
    <t>Proposed</t>
  </si>
  <si>
    <t>or</t>
  </si>
  <si>
    <t xml:space="preserve">Final </t>
  </si>
  <si>
    <t>Number</t>
  </si>
  <si>
    <t>Classification or Category</t>
  </si>
  <si>
    <t>Date</t>
  </si>
  <si>
    <t>Decrease</t>
  </si>
  <si>
    <t>Cash on Hand</t>
  </si>
  <si>
    <t>Variance Between 2011 Budgeted Revenues</t>
  </si>
  <si>
    <t>Due From Capital Reserve Account</t>
  </si>
  <si>
    <t>vs actual:   $15,000 shortage</t>
  </si>
  <si>
    <t>Transfer From General Fund to Liquid Fuels</t>
  </si>
  <si>
    <t>Due From General Funds Account</t>
  </si>
  <si>
    <t>Due From Highway Aid Fund</t>
  </si>
  <si>
    <t>Material Differences:</t>
  </si>
  <si>
    <t>Real Estate Taxes:  $11,204</t>
  </si>
  <si>
    <t>Due To Highway Aid Fund</t>
  </si>
  <si>
    <t>EIT:                        $4,400</t>
  </si>
  <si>
    <t>Real Estate Taxes  (See Tab 2)</t>
  </si>
  <si>
    <t>Real Estate Taxes - Current General</t>
  </si>
  <si>
    <t>Real Estate Taxes - Current General - Discount</t>
  </si>
  <si>
    <t>Real Estate Taxes - Current - Fire Protection</t>
  </si>
  <si>
    <t>Real Estate Taxes - Current - Fire - Discount</t>
  </si>
  <si>
    <t>Real Estate Taxes - Prior Year</t>
  </si>
  <si>
    <t>Real Estate Taxes - Discount</t>
  </si>
  <si>
    <t>Occupation Taxes</t>
  </si>
  <si>
    <t>Occupation Taxes - Current</t>
  </si>
  <si>
    <t>Occupation Taxes - Discount</t>
  </si>
  <si>
    <t>Occupation - Prior Year</t>
  </si>
  <si>
    <t>Local Enabling Tax (511)</t>
  </si>
  <si>
    <t>Per Capita - Prior Year</t>
  </si>
  <si>
    <t>Per Capita Taxes - Discount</t>
  </si>
  <si>
    <t>Per Capita - Delinquent</t>
  </si>
  <si>
    <t>Per Capita _ Penalties</t>
  </si>
  <si>
    <t>Earned Income Tax (Current)</t>
  </si>
  <si>
    <t>Earned Income Tax (Delinquent)</t>
  </si>
  <si>
    <t>Local Service Tax (Current)</t>
  </si>
  <si>
    <t>Cable Franchise Fees</t>
  </si>
  <si>
    <t>Fines</t>
  </si>
  <si>
    <t>Local Ordinances</t>
  </si>
  <si>
    <t>Vehicle Fines</t>
  </si>
  <si>
    <t xml:space="preserve">Rent of Land </t>
  </si>
  <si>
    <t>Intergovernmental Revenue</t>
  </si>
  <si>
    <t>Alcoholic Beverage License</t>
  </si>
  <si>
    <t>Fees &amp; Permits</t>
  </si>
  <si>
    <t>Subdivision/Zoning Fees</t>
  </si>
  <si>
    <t>Sewage Permits</t>
  </si>
  <si>
    <t>Zoning Hearing Fees</t>
  </si>
  <si>
    <t>Sales of Maps/Publications</t>
  </si>
  <si>
    <t>Permits - UCC</t>
  </si>
  <si>
    <t>Moving Permits</t>
  </si>
  <si>
    <t>Solid Waste</t>
  </si>
  <si>
    <t>Current Year Collections</t>
  </si>
  <si>
    <t>Delinquent Collections</t>
  </si>
  <si>
    <t>Contributions for Private Sources</t>
  </si>
  <si>
    <t xml:space="preserve">  Playground Fund</t>
  </si>
  <si>
    <t>Miscellaneous Income</t>
  </si>
  <si>
    <t>Sale of Fixed Assets</t>
  </si>
  <si>
    <t>Grant Revenue</t>
  </si>
  <si>
    <t>Refund of Prior Year Expenditures</t>
  </si>
  <si>
    <t>Restricted Revenue</t>
  </si>
  <si>
    <t>State Liquid Fuels Allocation</t>
  </si>
  <si>
    <t>Foreign Fire Tax Premium</t>
  </si>
  <si>
    <t>Total Revenue</t>
  </si>
  <si>
    <t>(355) Restricted Revenue &amp; Grants</t>
  </si>
  <si>
    <t>General Purpose Revenue</t>
  </si>
  <si>
    <t>PARRYVILLE BOROUGH - 2015 PRELIMINARY BUDGET -  EXPENDITURES</t>
  </si>
  <si>
    <t>Council</t>
  </si>
  <si>
    <t xml:space="preserve">Salaries </t>
  </si>
  <si>
    <t>Dues &amp; Memberships</t>
  </si>
  <si>
    <t>Borough Council Training</t>
  </si>
  <si>
    <t>Tablet Replacement Project</t>
  </si>
  <si>
    <t>Salary</t>
  </si>
  <si>
    <t>Local Tax Collector - Commission</t>
  </si>
  <si>
    <t>ACT 32 - EIT Collector - Commission</t>
  </si>
  <si>
    <t xml:space="preserve">Tax Collector - Training </t>
  </si>
  <si>
    <t>Tax Collector Supplies</t>
  </si>
  <si>
    <t>Solicitor</t>
  </si>
  <si>
    <t>Zoning Hearing Board Solicitor</t>
  </si>
  <si>
    <t>Office Supplies</t>
  </si>
  <si>
    <t>Quickbooks</t>
  </si>
  <si>
    <t>IT/Computer Expenses</t>
  </si>
  <si>
    <t>Postage</t>
  </si>
  <si>
    <t>Bonding</t>
  </si>
  <si>
    <t>Advertising &amp; Printing</t>
  </si>
  <si>
    <t>Miscellaneous - Other</t>
  </si>
  <si>
    <t xml:space="preserve">Engineering </t>
  </si>
  <si>
    <t xml:space="preserve">General </t>
  </si>
  <si>
    <t>Salt Shed</t>
  </si>
  <si>
    <t>Road Projects</t>
  </si>
  <si>
    <t>Planning Commission</t>
  </si>
  <si>
    <t>DEP - Act 537</t>
  </si>
  <si>
    <t>Supplies</t>
  </si>
  <si>
    <t>Telephone</t>
  </si>
  <si>
    <t>Internet Connection &amp; Website</t>
  </si>
  <si>
    <t>Electricity</t>
  </si>
  <si>
    <t>Repairs and Maintenance</t>
  </si>
  <si>
    <t>Fuel - Heat</t>
  </si>
  <si>
    <t>Capital Construction Projects</t>
  </si>
  <si>
    <t>Fire &amp; Public Safety</t>
  </si>
  <si>
    <t>911 Services</t>
  </si>
  <si>
    <t>Fire Tax Expenses</t>
  </si>
  <si>
    <t>Workers Comp Insurance - Fire Co</t>
  </si>
  <si>
    <t>Foreign Fire Tax Expense</t>
  </si>
  <si>
    <t>Public Safety</t>
  </si>
  <si>
    <t>Zoning - General Enforcement</t>
  </si>
  <si>
    <t>Zoning Heard Board Allocation</t>
  </si>
  <si>
    <t>Code Enforcement Fees</t>
  </si>
  <si>
    <t>Planning Commission Expenses (moved)</t>
  </si>
  <si>
    <t>Annual Contract For Trash Collection</t>
  </si>
  <si>
    <t>Allowance For Bad Debts</t>
  </si>
  <si>
    <t>Munibilling</t>
  </si>
  <si>
    <t>Court Filing Fees - Delinquent Accts</t>
  </si>
  <si>
    <t>PW - PT Wages</t>
  </si>
  <si>
    <t>PW - Supplies and Materials</t>
  </si>
  <si>
    <t>PW - Streets/Alley Repairs</t>
  </si>
  <si>
    <t>PW - Cleaning of Streets (Contracted)</t>
  </si>
  <si>
    <t>PW - Fuel</t>
  </si>
  <si>
    <t>PW - Snow Removal (Contracted)</t>
  </si>
  <si>
    <t xml:space="preserve">PW - Highway/Road Materials </t>
  </si>
  <si>
    <t>PW - Equipment Repair</t>
  </si>
  <si>
    <t>PW - Vehicle Repairs</t>
  </si>
  <si>
    <t>PW - Capital Equipment Purchase</t>
  </si>
  <si>
    <t>Debt Service</t>
  </si>
  <si>
    <t xml:space="preserve">Debt Service - Principal &amp; Interest </t>
  </si>
  <si>
    <t>Debt Service - Interest</t>
  </si>
  <si>
    <t xml:space="preserve">Recreation </t>
  </si>
  <si>
    <t>Parks - Operating Supplies</t>
  </si>
  <si>
    <t>Equipment Replacement Project</t>
  </si>
  <si>
    <t>Donations and Contributions</t>
  </si>
  <si>
    <t>Canal Commission</t>
  </si>
  <si>
    <t>United Vets</t>
  </si>
  <si>
    <t>Library</t>
  </si>
  <si>
    <t>Parryville Band</t>
  </si>
  <si>
    <t>Carbon County K-9</t>
  </si>
  <si>
    <t>Employer Portion of FICA -7.65%</t>
  </si>
  <si>
    <t>PA Unemployment Compensation Fund</t>
  </si>
  <si>
    <t>Auto Insurance - Property &amp; Casualty</t>
  </si>
  <si>
    <t>Public Officials - Liability</t>
  </si>
  <si>
    <t xml:space="preserve">Workers Compensation </t>
  </si>
  <si>
    <t>Liquid Fuels - Software Purchase</t>
  </si>
  <si>
    <t>Offset By Revenue in 355</t>
  </si>
  <si>
    <t xml:space="preserve">Liquid Fuels - Expenses </t>
  </si>
  <si>
    <t>Liquid Fuels - Road Project</t>
  </si>
  <si>
    <t>Liquid Fuels - Road Materials</t>
  </si>
  <si>
    <t xml:space="preserve">Liquid Fuels - Salt </t>
  </si>
  <si>
    <t>Due To Highway Aid Fund - Repayment Plan</t>
  </si>
  <si>
    <t>Grant Expenses</t>
  </si>
  <si>
    <t>Total Expenditures</t>
  </si>
  <si>
    <t>(355) Special Purpose Expenses</t>
  </si>
  <si>
    <t>General Purpose Expenses</t>
  </si>
  <si>
    <t>Total Net Income / (Net Loss)</t>
  </si>
  <si>
    <t>Net Income/(Net Loss) - Special Purpose</t>
  </si>
  <si>
    <t>Net Income/(Net Loss) - General Purpose</t>
  </si>
  <si>
    <t xml:space="preserve">   0130110 Real Estate Taxes - General - Current Year</t>
  </si>
  <si>
    <t xml:space="preserve">   0130120 Real Estate Taxes - Prior Year's Levy - General</t>
  </si>
  <si>
    <t xml:space="preserve">   0130140 RE Taxes - Tax Claim Bureau - General</t>
  </si>
  <si>
    <t xml:space="preserve">   0130510 Occupation Taxes - Current Year's Levy</t>
  </si>
  <si>
    <t xml:space="preserve">   0130520 Occupation Taxes - Prior Year's Levy</t>
  </si>
  <si>
    <t xml:space="preserve">   0131001 Per Capita Taxes - Current Year Levy</t>
  </si>
  <si>
    <t xml:space="preserve">   0131002 Per Capita Taxes - Prior Year's Levy</t>
  </si>
  <si>
    <t xml:space="preserve">   0131010 Real Estate Transfer Tax</t>
  </si>
  <si>
    <t xml:space="preserve">   0131021 Earned Income Taxes - Current Yr Levy</t>
  </si>
  <si>
    <t xml:space="preserve">   0131040 Occupational Priv Tax (Act 511)</t>
  </si>
  <si>
    <t xml:space="preserve">   0131901 Real Estate Penalities</t>
  </si>
  <si>
    <t xml:space="preserve">   0131902 Real Estate Penalities - Fire Co</t>
  </si>
  <si>
    <t xml:space="preserve">   0131905 Occupational Taxes Penalities</t>
  </si>
  <si>
    <t xml:space="preserve">   0131910 Per Capita Tax - Penalities</t>
  </si>
  <si>
    <t xml:space="preserve">   0132210 Moving Permits</t>
  </si>
  <si>
    <t xml:space="preserve">   0133113 Fines - State Police</t>
  </si>
  <si>
    <t xml:space="preserve">   0134000 Interest</t>
  </si>
  <si>
    <t xml:space="preserve">      3534101 Interest - Highway Aid</t>
  </si>
  <si>
    <t xml:space="preserve">   Total 0134000 Interest</t>
  </si>
  <si>
    <t xml:space="preserve">   0135504 Alcoholic Beverage License</t>
  </si>
  <si>
    <t xml:space="preserve">   0135507 Foreign Fire Insurance Premium Tax</t>
  </si>
  <si>
    <t xml:space="preserve">   0136130 Zoning/Building Permits</t>
  </si>
  <si>
    <t xml:space="preserve">   0136244 Sewage Permits (SEO Fees)</t>
  </si>
  <si>
    <t xml:space="preserve">   0138700 Contributions &amp; Donations from Private Sources</t>
  </si>
  <si>
    <t xml:space="preserve">   0330111 Fire Company Tax - Current Year</t>
  </si>
  <si>
    <t xml:space="preserve">   0330112 Prior Year - RE Taxes - Fire Co</t>
  </si>
  <si>
    <t xml:space="preserve">   0836430 Solid Waste Fees - current</t>
  </si>
  <si>
    <t xml:space="preserve">   0836431 Solid Waste Fees - Delinquent</t>
  </si>
  <si>
    <t xml:space="preserve">   301.101 RE Taxes - General - Discount</t>
  </si>
  <si>
    <t xml:space="preserve">   301.111 RE Taxes - Fire Tax - Discount</t>
  </si>
  <si>
    <t xml:space="preserve">   305.11 Occupation Taxes - Discount</t>
  </si>
  <si>
    <t xml:space="preserve">   310.011 Per Capita Taxes - Discount</t>
  </si>
  <si>
    <t xml:space="preserve">   3535502 Liquid Fuels Tax</t>
  </si>
  <si>
    <t xml:space="preserve">   Occupational Taxes - Delinquent</t>
  </si>
  <si>
    <t xml:space="preserve">   Pending</t>
  </si>
  <si>
    <t xml:space="preserve">   Per Capita Taxes - Delinquent</t>
  </si>
  <si>
    <t xml:space="preserve">   RE Taxes - Tax Claim Bureau - Fire Tax</t>
  </si>
  <si>
    <t xml:space="preserve">   Unapplied Cash Payment Income</t>
  </si>
  <si>
    <t>Gross Profit</t>
  </si>
  <si>
    <t xml:space="preserve">   0140015 Council Salaries</t>
  </si>
  <si>
    <t xml:space="preserve">   0140026 Website Design &amp; Updates</t>
  </si>
  <si>
    <t xml:space="preserve">   0140042 Borough Council - Dues/Seminars</t>
  </si>
  <si>
    <t xml:space="preserve">   0140062 Sewage Enforcement Officer</t>
  </si>
  <si>
    <t xml:space="preserve">   0140063 Code Enforcement Officer</t>
  </si>
  <si>
    <t xml:space="preserve">   0140064 Uniform Construction Code</t>
  </si>
  <si>
    <t xml:space="preserve">   0140115 Mayor Salary</t>
  </si>
  <si>
    <t xml:space="preserve">   0140231 Audit Fees</t>
  </si>
  <si>
    <t xml:space="preserve">   0140315 Tax Collector Commission</t>
  </si>
  <si>
    <t xml:space="preserve">   0140320 Tax Collector - Materials and Supplies</t>
  </si>
  <si>
    <t xml:space="preserve">   0140321 Tax Collector - Postage</t>
  </si>
  <si>
    <t xml:space="preserve">   0140431 Legal Expenses</t>
  </si>
  <si>
    <t xml:space="preserve">   0140511 Sec/Treas Salary</t>
  </si>
  <si>
    <t xml:space="preserve">   0140521 Office Materials/Supplies</t>
  </si>
  <si>
    <t xml:space="preserve">   0140522 QuickBooks Subscription</t>
  </si>
  <si>
    <t xml:space="preserve">   0140524 Secretary - Postage</t>
  </si>
  <si>
    <t xml:space="preserve">   0140525 Bank Fees</t>
  </si>
  <si>
    <t xml:space="preserve">   0140534 Advertising</t>
  </si>
  <si>
    <t xml:space="preserve">   0140831 Engineering Fees</t>
  </si>
  <si>
    <t xml:space="preserve">   0140832 Engineering Fees - 537 Plan</t>
  </si>
  <si>
    <t xml:space="preserve">   0140835 Engineering Fees - Road Projects</t>
  </si>
  <si>
    <t xml:space="preserve">   0140932 Telephone Service</t>
  </si>
  <si>
    <t xml:space="preserve">   0140933 Internet Service</t>
  </si>
  <si>
    <t xml:space="preserve">   0140936 Electric</t>
  </si>
  <si>
    <t xml:space="preserve">   0140937 Heat</t>
  </si>
  <si>
    <t xml:space="preserve">   0140938 Borough Hall - Maintenance/Repairs</t>
  </si>
  <si>
    <t xml:space="preserve">   0141411 Zoning Officer Salary</t>
  </si>
  <si>
    <t xml:space="preserve">   0142900 Contracted Services - Grass Cutting</t>
  </si>
  <si>
    <t xml:space="preserve">   0143000 Highway Salary</t>
  </si>
  <si>
    <t xml:space="preserve">   0143010 Materials/Supplies</t>
  </si>
  <si>
    <t xml:space="preserve">   0143011 Fuel</t>
  </si>
  <si>
    <t xml:space="preserve">   0143012 Borough Worker Supplies</t>
  </si>
  <si>
    <t xml:space="preserve">   0143060 Minor Equipment Repairs</t>
  </si>
  <si>
    <t xml:space="preserve">   0143400 Street Lights</t>
  </si>
  <si>
    <t xml:space="preserve">   0145003 United Vet Donation</t>
  </si>
  <si>
    <t xml:space="preserve">   0145004 Parryville Band Donation</t>
  </si>
  <si>
    <t xml:space="preserve">   0145005 Canal Commission Donation</t>
  </si>
  <si>
    <t xml:space="preserve">   0146500 Misc Expenses</t>
  </si>
  <si>
    <t xml:space="preserve">   0147100 Road Repair Loan - Principal</t>
  </si>
  <si>
    <t xml:space="preserve">   0147200 Road Repair Loan - Interest Expense</t>
  </si>
  <si>
    <t xml:space="preserve">   0148100 Payroll Taxes - Employer</t>
  </si>
  <si>
    <t xml:space="preserve">   0148602 Worker's Comp Insurance</t>
  </si>
  <si>
    <t xml:space="preserve">   0411030 Fire Company Expenses</t>
  </si>
  <si>
    <t xml:space="preserve">   0441101 Communication Center</t>
  </si>
  <si>
    <t xml:space="preserve">   0442428 Court Filing Fees - Solid Waste Accounts</t>
  </si>
  <si>
    <t xml:space="preserve">   0842427 Third Party Collections - Solid Waste Fees</t>
  </si>
  <si>
    <t xml:space="preserve">   407.22 Computer - IT Expenses</t>
  </si>
  <si>
    <t xml:space="preserve">   490.21 Liquid Fuel Expenses</t>
  </si>
  <si>
    <t xml:space="preserve">   6560 Payroll Expenses</t>
  </si>
  <si>
    <t xml:space="preserve">      Taxes</t>
  </si>
  <si>
    <t xml:space="preserve">      Wages</t>
  </si>
  <si>
    <t xml:space="preserve">   Total 6560 Payroll Expenses</t>
  </si>
  <si>
    <t xml:space="preserve">   Bad Debts</t>
  </si>
  <si>
    <t xml:space="preserve">   Reimbursements</t>
  </si>
  <si>
    <t>Net Operating Income</t>
  </si>
  <si>
    <t>Other Expenses</t>
  </si>
  <si>
    <t xml:space="preserve">   Reconciliation Discrepancies</t>
  </si>
  <si>
    <t>Total Other Expenses</t>
  </si>
  <si>
    <t>Net Other Income</t>
  </si>
  <si>
    <t>Net Income</t>
  </si>
  <si>
    <t>January - October, 2016</t>
  </si>
  <si>
    <t xml:space="preserve">   0141104 Foreign Fire Insurance Expense</t>
  </si>
  <si>
    <t xml:space="preserve">   0143051 Street/Alley Repair</t>
  </si>
  <si>
    <t xml:space="preserve">   0148603 Public Officals Insurance</t>
  </si>
  <si>
    <t xml:space="preserve">   0148604 Vehicle &amp; Property Insurance</t>
  </si>
  <si>
    <t>Saturday, Nov 12, 2016 12:50:56 PM GMT-8 - Cash Basis</t>
  </si>
  <si>
    <t>January - November, 2016</t>
  </si>
  <si>
    <t xml:space="preserve">   0133110 Fines - District Magistrate</t>
  </si>
  <si>
    <t xml:space="preserve">   0134210 Rent of Land</t>
  </si>
  <si>
    <t xml:space="preserve">   0135501 PURTA</t>
  </si>
  <si>
    <t xml:space="preserve">   0140536 Sec/Treas Bond</t>
  </si>
  <si>
    <t xml:space="preserve">   0145002 K-9 Donation</t>
  </si>
  <si>
    <t>Monday, Dec 12, 2016 12:04:08 PM GMT-8 - Cash Basis</t>
  </si>
  <si>
    <t>Balance Sheet</t>
  </si>
  <si>
    <t>As of November 30, 2016</t>
  </si>
  <si>
    <t>ASSETS</t>
  </si>
  <si>
    <t xml:space="preserve">   Current Assets</t>
  </si>
  <si>
    <t xml:space="preserve">      Bank Accounts</t>
  </si>
  <si>
    <t xml:space="preserve">         0110000 PLGIT - General Fund Account</t>
  </si>
  <si>
    <t xml:space="preserve">         0110500 PLGIT - Playground Fund</t>
  </si>
  <si>
    <t xml:space="preserve">         0110600 FIRST NIAGARA - SAVINGS ACCOUNT</t>
  </si>
  <si>
    <t xml:space="preserve">            Playground Fund</t>
  </si>
  <si>
    <t xml:space="preserve">         Total 0110600 FIRST NIAGARA - SAVINGS ACCOUNT</t>
  </si>
  <si>
    <t xml:space="preserve">         0111000 Petty Cash</t>
  </si>
  <si>
    <t xml:space="preserve">         0310000 PLGIT -Fire Tax Account</t>
  </si>
  <si>
    <t xml:space="preserve">         0810000 M&amp;T - General Fund Account</t>
  </si>
  <si>
    <t xml:space="preserve">         0810001 PLGIT - Solid Waste Fund</t>
  </si>
  <si>
    <t xml:space="preserve">         3010000 PLGIT - Waste Development</t>
  </si>
  <si>
    <t xml:space="preserve">         3510000 PLGIT- Highway Aid Checking</t>
  </si>
  <si>
    <t xml:space="preserve">         M&amp;T - Borough Waste Removal</t>
  </si>
  <si>
    <t xml:space="preserve">      Total Bank Accounts</t>
  </si>
  <si>
    <t xml:space="preserve">      Accounts Receivable</t>
  </si>
  <si>
    <t xml:space="preserve">         0112000 Accounts Receivable</t>
  </si>
  <si>
    <t xml:space="preserve">         0112010 RE Tax Receivable</t>
  </si>
  <si>
    <t xml:space="preserve">         0112020 Del RE Tax Receivable</t>
  </si>
  <si>
    <t xml:space="preserve">         0112050 EIT Receivable</t>
  </si>
  <si>
    <t xml:space="preserve">         0412000 Street Light RE Tax Receivable</t>
  </si>
  <si>
    <t xml:space="preserve">         0412001 Fire RE Tax Receivable</t>
  </si>
  <si>
    <t xml:space="preserve">         0412002 Street Repair RE Tax Receivable</t>
  </si>
  <si>
    <t xml:space="preserve">         0812000 Sanatation Fees Receivable</t>
  </si>
  <si>
    <t xml:space="preserve">         Accounts Receivable (A/R)</t>
  </si>
  <si>
    <t xml:space="preserve">      Total Accounts Receivable</t>
  </si>
  <si>
    <t xml:space="preserve">      Other current assets</t>
  </si>
  <si>
    <t xml:space="preserve">         0110070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</si>
  <si>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</si>
  <si>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</si>
  <si>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</si>
  <si>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0116600 Infrastructure</t>
  </si>
  <si>
    <t xml:space="preserve">         0116601 Infrastructure Original Cost</t>
  </si>
  <si>
    <t xml:space="preserve">      Total 0116600 Infrastructure</t>
  </si>
  <si>
    <t xml:space="preserve">      169.00 Accumulated Depreciation</t>
  </si>
  <si>
    <t xml:space="preserve">      169.01 Accumulated Amortization</t>
  </si>
  <si>
    <t xml:space="preserve">   Total Fixed Assets</t>
  </si>
  <si>
    <t xml:space="preserve">   Other Assets</t>
  </si>
  <si>
    <t xml:space="preserve">      Reserve - Fire Company Tax</t>
  </si>
  <si>
    <t xml:space="preserve">      Reserve - Street Repair Tax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</si>
  <si>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</si>
  <si>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</si>
  <si>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</si>
  <si>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</si>
  <si>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</si>
  <si>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</si>
  <si>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0120000 Accounts Payable</t>
  </si>
  <si>
    <t xml:space="preserve">         Total Accounts Payable</t>
  </si>
  <si>
    <t xml:space="preserve">         Other Current Liabilities</t>
  </si>
  <si>
    <t xml:space="preserve">            0121000 Payroll Liabilities</t>
  </si>
  <si>
    <t xml:space="preserve">            0127900 General Fund Balance</t>
  </si>
  <si>
    <t xml:space="preserve">            0427900 Special Revenue Fund Balance</t>
  </si>
  <si>
    <t xml:space="preserve">            0827900 Proprietary Fund Balance</t>
  </si>
  <si>
    <t xml:space="preserve">            3527900 Highway Aid Fund Balance</t>
  </si>
  <si>
    <t xml:space="preserve">            90.212 Local Income Tax Withholding</t>
  </si>
  <si>
    <t xml:space="preserve">            90.217 State Income Tax Withholding</t>
  </si>
  <si>
    <t xml:space="preserve">            90.221 PA UC Withholding Tax</t>
  </si>
  <si>
    <t xml:space="preserve">            Direct Deposit Payable</t>
  </si>
  <si>
    <t xml:space="preserve">            Payroll Clearing</t>
  </si>
  <si>
    <t xml:space="preserve">            Payroll Tax Payable</t>
  </si>
  <si>
    <t xml:space="preserve">            Sewage Holding Tank Escrow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</si>
  <si>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</si>
  <si>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</si>
  <si>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</si>
  <si>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0125520 Street Repair Loan</t>
  </si>
  <si>
    <t xml:space="preserve">      Total Long-Term Liabilities</t>
  </si>
  <si>
    <t xml:space="preserve">   Total Liabilities</t>
  </si>
  <si>
    <t xml:space="preserve">   Equity</t>
  </si>
  <si>
    <t xml:space="preserve">      3000 Opening Bal Equity</t>
  </si>
  <si>
    <t xml:space="preserve">      3900 Retained Earnings</t>
  </si>
  <si>
    <t xml:space="preserve">      Net Income</t>
  </si>
  <si>
    <t xml:space="preserve">   Total Equity</t>
  </si>
  <si>
    <t>TOTAL LIABILITIES AND EQUITY</t>
  </si>
  <si>
    <t>Monday, Dec 12, 2016 02:20:29 PM GMT-8 - Cash Basis</t>
  </si>
  <si>
    <t>PLGIT - Playground Fund</t>
  </si>
  <si>
    <t xml:space="preserve">      Correction From Prior Year</t>
  </si>
  <si>
    <t>For the period ended: December 31, 2016</t>
  </si>
  <si>
    <t>December</t>
  </si>
  <si>
    <t>January - December 2016</t>
  </si>
  <si>
    <t>Sunday, Jan 15, 2017 08:47:15 AM GMT-8 - Cash Basis</t>
  </si>
  <si>
    <t>Month Ended:  December 31, 2016</t>
  </si>
  <si>
    <t>As of December 31, 2016</t>
  </si>
  <si>
    <t xml:space="preserve">      Other Current Assets</t>
  </si>
  <si>
    <t xml:space="preserve">      Total Other Current Assets</t>
  </si>
  <si>
    <t>Sunday, Jan 15, 2017 09:51:38 AM GMT-8 - Cash Basis</t>
  </si>
  <si>
    <t>Month End, December 31, 2016</t>
  </si>
  <si>
    <t>Cash, Balance @ 12/31/16 - per general ledger</t>
  </si>
  <si>
    <t>Adjusted Cash, Balance @ 12/31/2016</t>
  </si>
  <si>
    <t xml:space="preserve">   Interest Income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</si>
</sst>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[$-409]dddd\,\ mmmm\ dd\,\ yyyy"/>
    <numFmt numFmtId="178" formatCode="[$-409]mmmm\ d\,\ yyyy;@"/>
    <numFmt numFmtId="179" formatCode="#,##0.0_);\(#,##0.0\)"/>
    <numFmt numFmtId="180" formatCode="_(* #,##0_);_(* \(#,##0\);_(* &quot;-&quot;??_);_(@_)"/>
    <numFmt numFmtId="181" formatCode="_(&quot;₩&quot;* #,##0.00_);_(&quot;₩&quot;* \(#,##0.00\);_(&quot;₩&quot;* &quot;-&quot;??_);_(* @_)"/>
    <numFmt numFmtId="182" formatCode="_(* #,##0.0_);_(* \(#,##0.0\);_(* &quot;-&quot;??_);_(@_)"/>
    <numFmt numFmtId="183" formatCode="_(* #,##0.0000_);_(* \(#,##0.0000\);_(* &quot;-&quot;????_);_(@_)"/>
    <numFmt numFmtId="184" formatCode="_(* #,##0.000_);_(* \(#,##0.000\);_(* &quot;-&quot;???_);_(@_)"/>
    <numFmt numFmtId="185" formatCode="_(* #,##0.00000_);_(* \(#,##0.00000\);_(* &quot;-&quot;?????_);_(@_)"/>
    <numFmt numFmtId="186" formatCode="#,##0.00;[Red]#,##0.00"/>
    <numFmt numFmtId="187" formatCode="&quot;₩&quot;* #,##0.00"/>
    <numFmt numFmtId="188" formatCode="_(&quot;₩&quot;* #,##0.0_);_(&quot;₩&quot;* \(#,##0.0\);_(&quot;₩&quot;* &quot;-&quot;??_);_(@_)"/>
    <numFmt numFmtId="189" formatCode="_(&quot;₩&quot;* #,##0_);_(&quot;₩&quot;* \(#,##0\);_(&quot;₩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#,##0.0"/>
    <numFmt numFmtId="196" formatCode="0.0"/>
    <numFmt numFmtId="197" formatCode="#,##0.000000000000_);\(#,##0.000000000000\)"/>
    <numFmt numFmtId="198" formatCode="_(&quot;₩&quot;* #,##0_);_(&quot;₩&quot;* \(#,##0\);_(&quot;₩&quot;* &quot;-&quot;_);_(@_)"/>
    <numFmt numFmtId="199" formatCode="_(&quot;₩&quot;* #,##0.00_);_(&quot;₩&quot;* \(#,##0.00\);_(&quot;₩&quot;* &quot;-&quot;??_);_(@_)"/>
    <numFmt numFmtId="200" formatCode="#,##0.0000000000000_);\(#,##0.0000000000000\)"/>
    <numFmt numFmtId="201" formatCode="#,##0.00000000000000_);\(#,##0.00000000000000\)"/>
    <numFmt numFmtId="202" formatCode="#,##0.000000000000000_);\(#,##0.000000000000000\)"/>
    <numFmt numFmtId="203" formatCode="#,##0.00000000000_);\(#,##0.00000000000\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0\ _€"/>
    <numFmt numFmtId="213" formatCode="&quot;₩&quot;* #,##0.00\ _€"/>
    <numFmt numFmtId="214" formatCode="&quot;$&quot;* #,##0.00\ _€"/>
  </numFmts>
  <fonts count="61">
    <font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10"/>
      <name val="Bookman Old Style"/>
      <family val="0"/>
    </font>
    <font>
      <b/>
      <sz val="10"/>
      <name val="Bookman Old Style"/>
      <family val="0"/>
    </font>
    <font>
      <b/>
      <sz val="12"/>
      <name val="Bookman Old Style"/>
      <family val="0"/>
    </font>
    <font>
      <b/>
      <u val="single"/>
      <sz val="10"/>
      <name val="Bookman Old Style"/>
      <family val="0"/>
    </font>
    <font>
      <sz val="8"/>
      <name val="Bookman Old Style"/>
      <family val="0"/>
    </font>
    <font>
      <b/>
      <sz val="8"/>
      <name val="Bookman Old Style"/>
      <family val="0"/>
    </font>
    <font>
      <sz val="10"/>
      <color indexed="10"/>
      <name val="Bookman Old Style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4" borderId="1" applyNumberFormat="0" applyAlignment="0" applyProtection="0"/>
    <xf numFmtId="0" fontId="55" fillId="0" borderId="6" applyNumberFormat="0" applyFill="0" applyAlignment="0" applyProtection="0"/>
    <xf numFmtId="0" fontId="56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6" borderId="7" applyNumberFormat="0" applyFont="0" applyAlignment="0" applyProtection="0"/>
    <xf numFmtId="0" fontId="57" fillId="27" borderId="8" applyNumberFormat="0" applyAlignment="0" applyProtection="0"/>
    <xf numFmtId="0" fontId="1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 wrapText="1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/>
    </xf>
    <xf numFmtId="176" fontId="3" fillId="0" borderId="0" xfId="0" applyNumberFormat="1" applyFont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7" fontId="4" fillId="0" borderId="10" xfId="0" applyNumberFormat="1" applyFont="1" applyFill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39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" fontId="15" fillId="0" borderId="13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39" fontId="15" fillId="0" borderId="14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3" fontId="16" fillId="0" borderId="0" xfId="0" applyNumberFormat="1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0" xfId="0" applyNumberFormat="1" applyFont="1" applyAlignment="1">
      <alignment horizontal="left" wrapText="1"/>
    </xf>
    <xf numFmtId="43" fontId="18" fillId="0" borderId="0" xfId="0" applyNumberFormat="1" applyFont="1" applyBorder="1" applyAlignment="1">
      <alignment horizontal="right" wrapText="1"/>
    </xf>
    <xf numFmtId="43" fontId="0" fillId="0" borderId="0" xfId="0" applyNumberFormat="1" applyFont="1" applyAlignment="1">
      <alignment/>
    </xf>
    <xf numFmtId="43" fontId="18" fillId="0" borderId="10" xfId="0" applyNumberFormat="1" applyFont="1" applyBorder="1" applyAlignment="1">
      <alignment horizontal="right" wrapText="1"/>
    </xf>
    <xf numFmtId="40" fontId="18" fillId="0" borderId="13" xfId="0" applyNumberFormat="1" applyFont="1" applyBorder="1" applyAlignment="1">
      <alignment horizontal="right" wrapText="1"/>
    </xf>
    <xf numFmtId="43" fontId="15" fillId="0" borderId="0" xfId="0" applyNumberFormat="1" applyFont="1" applyBorder="1" applyAlignment="1">
      <alignment horizontal="left" wrapText="1"/>
    </xf>
    <xf numFmtId="43" fontId="15" fillId="0" borderId="10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39" fontId="15" fillId="0" borderId="14" xfId="0" applyNumberFormat="1" applyFont="1" applyBorder="1" applyAlignment="1">
      <alignment/>
    </xf>
    <xf numFmtId="43" fontId="1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0" fontId="18" fillId="0" borderId="10" xfId="0" applyNumberFormat="1" applyFont="1" applyBorder="1" applyAlignment="1">
      <alignment horizontal="right" wrapText="1"/>
    </xf>
    <xf numFmtId="199" fontId="18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99" fontId="0" fillId="0" borderId="0" xfId="0" applyNumberFormat="1" applyAlignment="1">
      <alignment/>
    </xf>
    <xf numFmtId="39" fontId="15" fillId="0" borderId="0" xfId="0" applyNumberFormat="1" applyFont="1" applyBorder="1" applyAlignment="1">
      <alignment horizontal="right" wrapText="1"/>
    </xf>
    <xf numFmtId="39" fontId="15" fillId="0" borderId="10" xfId="0" applyNumberFormat="1" applyFont="1" applyBorder="1" applyAlignment="1">
      <alignment horizontal="right" wrapText="1"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3" fontId="15" fillId="0" borderId="0" xfId="0" applyNumberFormat="1" applyFont="1" applyAlignment="1">
      <alignment horizontal="right" wrapText="1"/>
    </xf>
    <xf numFmtId="43" fontId="15" fillId="0" borderId="10" xfId="0" applyNumberFormat="1" applyFont="1" applyBorder="1" applyAlignment="1">
      <alignment horizontal="right" wrapText="1"/>
    </xf>
    <xf numFmtId="3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" fontId="18" fillId="0" borderId="0" xfId="0" applyNumberFormat="1" applyFont="1" applyAlignment="1">
      <alignment horizontal="right" wrapText="1"/>
    </xf>
    <xf numFmtId="43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4" fontId="3" fillId="0" borderId="14" xfId="0" applyNumberFormat="1" applyFont="1" applyBorder="1" applyAlignment="1">
      <alignment/>
    </xf>
    <xf numFmtId="43" fontId="18" fillId="0" borderId="14" xfId="0" applyNumberFormat="1" applyFont="1" applyBorder="1" applyAlignment="1">
      <alignment horizontal="right" wrapText="1"/>
    </xf>
    <xf numFmtId="39" fontId="18" fillId="0" borderId="0" xfId="0" applyNumberFormat="1" applyFont="1" applyBorder="1" applyAlignment="1">
      <alignment horizontal="right" wrapText="1"/>
    </xf>
    <xf numFmtId="39" fontId="15" fillId="0" borderId="13" xfId="0" applyNumberFormat="1" applyFont="1" applyBorder="1" applyAlignment="1">
      <alignment horizontal="right" wrapText="1"/>
    </xf>
    <xf numFmtId="43" fontId="18" fillId="0" borderId="13" xfId="0" applyNumberFormat="1" applyFont="1" applyBorder="1" applyAlignment="1">
      <alignment horizontal="right" wrapText="1"/>
    </xf>
    <xf numFmtId="39" fontId="1" fillId="0" borderId="13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7" fontId="3" fillId="38" borderId="15" xfId="0" applyNumberFormat="1" applyFont="1" applyFill="1" applyBorder="1" applyAlignment="1">
      <alignment/>
    </xf>
    <xf numFmtId="37" fontId="3" fillId="38" borderId="14" xfId="0" applyNumberFormat="1" applyFont="1" applyFill="1" applyBorder="1" applyAlignment="1">
      <alignment/>
    </xf>
    <xf numFmtId="37" fontId="3" fillId="39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14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180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180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9" fillId="0" borderId="20" xfId="0" applyFont="1" applyBorder="1" applyAlignment="1">
      <alignment horizontal="center"/>
    </xf>
    <xf numFmtId="180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37" fontId="0" fillId="0" borderId="22" xfId="0" applyNumberFormat="1" applyFont="1" applyFill="1" applyBorder="1" applyAlignment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0" fillId="0" borderId="22" xfId="0" applyFont="1" applyBorder="1" applyAlignment="1">
      <alignment/>
    </xf>
    <xf numFmtId="0" fontId="0" fillId="0" borderId="22" xfId="0" applyFont="1" applyBorder="1" applyAlignment="1">
      <alignment/>
    </xf>
    <xf numFmtId="180" fontId="0" fillId="38" borderId="22" xfId="0" applyNumberFormat="1" applyFont="1" applyFill="1" applyBorder="1" applyAlignment="1">
      <alignment horizontal="center"/>
    </xf>
    <xf numFmtId="180" fontId="0" fillId="40" borderId="22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37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89" fontId="21" fillId="0" borderId="10" xfId="0" applyNumberFormat="1" applyFont="1" applyBorder="1" applyAlignment="1">
      <alignment horizontal="right"/>
    </xf>
    <xf numFmtId="37" fontId="21" fillId="0" borderId="10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right"/>
    </xf>
    <xf numFmtId="180" fontId="21" fillId="0" borderId="13" xfId="0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center"/>
    </xf>
    <xf numFmtId="37" fontId="0" fillId="0" borderId="22" xfId="0" applyNumberFormat="1" applyFont="1" applyBorder="1" applyAlignment="1">
      <alignment horizontal="right"/>
    </xf>
    <xf numFmtId="180" fontId="21" fillId="0" borderId="22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180" fontId="0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9" fontId="10" fillId="0" borderId="0" xfId="0" applyNumberFormat="1" applyFont="1" applyAlignment="1">
      <alignment horizontal="left"/>
    </xf>
    <xf numFmtId="180" fontId="0" fillId="40" borderId="22" xfId="0" applyNumberFormat="1" applyFont="1" applyFill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89" fontId="0" fillId="0" borderId="13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horizontal="center"/>
    </xf>
    <xf numFmtId="189" fontId="0" fillId="0" borderId="10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" fillId="29" borderId="0" xfId="42" applyAlignment="1">
      <alignment/>
    </xf>
    <xf numFmtId="0" fontId="1" fillId="0" borderId="0" xfId="56">
      <alignment/>
      <protection/>
    </xf>
    <xf numFmtId="0" fontId="1" fillId="0" borderId="0" xfId="56" applyAlignment="1">
      <alignment wrapText="1"/>
      <protection/>
    </xf>
    <xf numFmtId="0" fontId="24" fillId="0" borderId="10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212" fontId="26" fillId="0" borderId="0" xfId="56" applyNumberFormat="1" applyFont="1" applyAlignment="1">
      <alignment wrapText="1"/>
      <protection/>
    </xf>
    <xf numFmtId="212" fontId="26" fillId="0" borderId="0" xfId="56" applyNumberFormat="1" applyFont="1" applyAlignment="1">
      <alignment horizontal="right" wrapText="1"/>
      <protection/>
    </xf>
    <xf numFmtId="214" fontId="25" fillId="0" borderId="23" xfId="56" applyNumberFormat="1" applyFont="1" applyBorder="1" applyAlignment="1">
      <alignment horizontal="right" wrapText="1"/>
      <protection/>
    </xf>
    <xf numFmtId="0" fontId="1" fillId="0" borderId="0" xfId="55">
      <alignment/>
      <protection/>
    </xf>
    <xf numFmtId="0" fontId="1" fillId="0" borderId="0" xfId="55" applyAlignment="1">
      <alignment wrapText="1"/>
      <protection/>
    </xf>
    <xf numFmtId="0" fontId="24" fillId="0" borderId="10" xfId="55" applyFont="1" applyBorder="1" applyAlignment="1">
      <alignment horizontal="center" wrapText="1"/>
      <protection/>
    </xf>
    <xf numFmtId="0" fontId="25" fillId="0" borderId="0" xfId="55" applyFont="1" applyAlignment="1">
      <alignment horizontal="left" wrapText="1"/>
      <protection/>
    </xf>
    <xf numFmtId="212" fontId="26" fillId="0" borderId="0" xfId="55" applyNumberFormat="1" applyFont="1" applyAlignment="1">
      <alignment wrapText="1"/>
      <protection/>
    </xf>
    <xf numFmtId="212" fontId="26" fillId="0" borderId="0" xfId="55" applyNumberFormat="1" applyFont="1" applyAlignment="1">
      <alignment horizontal="right" wrapText="1"/>
      <protection/>
    </xf>
    <xf numFmtId="214" fontId="25" fillId="0" borderId="23" xfId="55" applyNumberFormat="1" applyFont="1" applyBorder="1" applyAlignment="1">
      <alignment horizontal="right" wrapText="1"/>
      <protection/>
    </xf>
    <xf numFmtId="0" fontId="1" fillId="0" borderId="0" xfId="56">
      <alignment/>
      <protection/>
    </xf>
    <xf numFmtId="0" fontId="1" fillId="0" borderId="0" xfId="56" applyAlignment="1">
      <alignment wrapText="1"/>
      <protection/>
    </xf>
    <xf numFmtId="212" fontId="26" fillId="38" borderId="0" xfId="56" applyNumberFormat="1" applyFont="1" applyFill="1" applyAlignment="1">
      <alignment horizontal="right" wrapText="1"/>
      <protection/>
    </xf>
    <xf numFmtId="214" fontId="25" fillId="38" borderId="23" xfId="56" applyNumberFormat="1" applyFont="1" applyFill="1" applyBorder="1" applyAlignment="1">
      <alignment horizontal="right" wrapText="1"/>
      <protection/>
    </xf>
    <xf numFmtId="0" fontId="1" fillId="0" borderId="0" xfId="55">
      <alignment/>
      <protection/>
    </xf>
    <xf numFmtId="0" fontId="1" fillId="0" borderId="0" xfId="55" applyAlignment="1">
      <alignment wrapText="1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26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1" fillId="0" borderId="0" xfId="56">
      <alignment/>
      <protection/>
    </xf>
    <xf numFmtId="0" fontId="22" fillId="0" borderId="0" xfId="56" applyFont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11" fillId="41" borderId="24" xfId="0" applyFont="1" applyFill="1" applyBorder="1" applyAlignment="1">
      <alignment/>
    </xf>
    <xf numFmtId="0" fontId="12" fillId="41" borderId="25" xfId="0" applyFont="1" applyFill="1" applyBorder="1" applyAlignment="1">
      <alignment/>
    </xf>
    <xf numFmtId="0" fontId="12" fillId="41" borderId="17" xfId="0" applyFont="1" applyFill="1" applyBorder="1" applyAlignment="1">
      <alignment/>
    </xf>
    <xf numFmtId="0" fontId="12" fillId="41" borderId="26" xfId="0" applyFont="1" applyFill="1" applyBorder="1" applyAlignment="1">
      <alignment/>
    </xf>
    <xf numFmtId="0" fontId="12" fillId="41" borderId="11" xfId="0" applyFont="1" applyFill="1" applyBorder="1" applyAlignment="1">
      <alignment/>
    </xf>
    <xf numFmtId="0" fontId="12" fillId="41" borderId="21" xfId="0" applyFont="1" applyFill="1" applyBorder="1" applyAlignment="1">
      <alignment/>
    </xf>
    <xf numFmtId="0" fontId="11" fillId="41" borderId="24" xfId="0" applyFont="1" applyFill="1" applyBorder="1" applyAlignment="1">
      <alignment horizontal="center"/>
    </xf>
    <xf numFmtId="0" fontId="12" fillId="41" borderId="25" xfId="0" applyFont="1" applyFill="1" applyBorder="1" applyAlignment="1">
      <alignment horizontal="center"/>
    </xf>
    <xf numFmtId="0" fontId="12" fillId="41" borderId="17" xfId="0" applyFont="1" applyFill="1" applyBorder="1" applyAlignment="1">
      <alignment horizontal="center"/>
    </xf>
    <xf numFmtId="0" fontId="12" fillId="41" borderId="26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/>
    </xf>
    <xf numFmtId="0" fontId="12" fillId="41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rryville Borough_BalanceSheet" xfId="55"/>
    <cellStyle name="Normal_Parryville Borough_ProfitandLos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ryville\Dropbox\11%20November%202015%20Meeting\3%20Treasurer's%20Report%20-%20Octobe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ryville\Dropbox\Borough%20Budget\2016%20Budget\Proposed%20Budget_Parryville%202016%20(11-2-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15"/>
      <sheetName val="Fire Tax -Oct"/>
      <sheetName val="Liquid Fuels - Oct"/>
      <sheetName val="Solid Waste -Oct"/>
      <sheetName val="Playground-Oct"/>
      <sheetName val="BS - OCT"/>
      <sheetName val="Sheet3"/>
      <sheetName val="Worksheet"/>
      <sheetName val="OCT PL"/>
      <sheetName val="Balance Sheet"/>
      <sheetName val="Profit and Loss"/>
      <sheetName val="Profit and Loss "/>
      <sheetName val="Balance Sheet (2)"/>
    </sheetNames>
    <sheetDataSet>
      <sheetData sheetId="1">
        <row r="25">
          <cell r="C25">
            <v>-14089.63</v>
          </cell>
        </row>
      </sheetData>
      <sheetData sheetId="3">
        <row r="27">
          <cell r="C27">
            <v>-4950.849999999999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 Budget Worksheet"/>
      <sheetName val="RE Tax Calc"/>
      <sheetName val="Profit and Loss"/>
    </sheetNames>
    <sheetDataSet>
      <sheetData sheetId="1">
        <row r="20">
          <cell r="F20">
            <v>115488.8509090909</v>
          </cell>
        </row>
        <row r="22">
          <cell r="F22">
            <v>9057.949090909091</v>
          </cell>
        </row>
      </sheetData>
      <sheetData sheetId="2">
        <row r="7">
          <cell r="B7">
            <v>102502.55</v>
          </cell>
        </row>
        <row r="8">
          <cell r="B8">
            <v>1682.55</v>
          </cell>
        </row>
        <row r="9">
          <cell r="B9">
            <v>15654.12</v>
          </cell>
        </row>
        <row r="10">
          <cell r="B10">
            <v>635.5</v>
          </cell>
        </row>
        <row r="11">
          <cell r="B11">
            <v>44</v>
          </cell>
        </row>
        <row r="12">
          <cell r="B12">
            <v>985</v>
          </cell>
        </row>
        <row r="13">
          <cell r="B13">
            <v>33</v>
          </cell>
        </row>
        <row r="14">
          <cell r="B14">
            <v>4606.73</v>
          </cell>
        </row>
        <row r="15">
          <cell r="B15">
            <v>28656.06</v>
          </cell>
        </row>
        <row r="16">
          <cell r="B16">
            <v>2168.8</v>
          </cell>
        </row>
        <row r="17">
          <cell r="B17">
            <v>154.57</v>
          </cell>
        </row>
        <row r="18">
          <cell r="B18">
            <v>13.43</v>
          </cell>
        </row>
        <row r="19">
          <cell r="B19">
            <v>2</v>
          </cell>
        </row>
        <row r="20">
          <cell r="B20">
            <v>2.5</v>
          </cell>
        </row>
        <row r="21">
          <cell r="B21">
            <v>168.74</v>
          </cell>
        </row>
        <row r="26">
          <cell r="B26">
            <v>3.23</v>
          </cell>
        </row>
        <row r="27">
          <cell r="B27">
            <v>32.83</v>
          </cell>
        </row>
        <row r="29">
          <cell r="B29">
            <v>216.54</v>
          </cell>
        </row>
        <row r="30">
          <cell r="B30">
            <v>2744.69</v>
          </cell>
        </row>
        <row r="31">
          <cell r="B31">
            <v>359</v>
          </cell>
        </row>
        <row r="32">
          <cell r="B32">
            <v>650</v>
          </cell>
        </row>
        <row r="33">
          <cell r="B33">
            <v>15224.08</v>
          </cell>
        </row>
        <row r="34">
          <cell r="B34">
            <v>8176.76</v>
          </cell>
        </row>
        <row r="36">
          <cell r="B36">
            <v>40020.93</v>
          </cell>
        </row>
        <row r="37">
          <cell r="B37">
            <v>3475.42</v>
          </cell>
        </row>
        <row r="38">
          <cell r="B38">
            <v>-1869.05</v>
          </cell>
        </row>
        <row r="39">
          <cell r="B39">
            <v>-149.33</v>
          </cell>
        </row>
        <row r="40">
          <cell r="B40">
            <v>-10</v>
          </cell>
          <cell r="G40">
            <v>6163.554</v>
          </cell>
        </row>
        <row r="41">
          <cell r="B41">
            <v>-15.8</v>
          </cell>
        </row>
        <row r="42">
          <cell r="B42">
            <v>1592.4</v>
          </cell>
          <cell r="G42">
            <v>483.416</v>
          </cell>
        </row>
        <row r="44">
          <cell r="B44">
            <v>200.16</v>
          </cell>
        </row>
        <row r="48">
          <cell r="B48">
            <v>4000</v>
          </cell>
        </row>
        <row r="49">
          <cell r="B49">
            <v>49</v>
          </cell>
        </row>
        <row r="50">
          <cell r="B50">
            <v>40</v>
          </cell>
        </row>
        <row r="51">
          <cell r="B51">
            <v>3090.5</v>
          </cell>
        </row>
        <row r="53">
          <cell r="B53">
            <v>1000</v>
          </cell>
        </row>
        <row r="54">
          <cell r="B54">
            <v>2500</v>
          </cell>
        </row>
        <row r="55">
          <cell r="B55">
            <v>2500</v>
          </cell>
        </row>
        <row r="56">
          <cell r="B56">
            <v>87.14</v>
          </cell>
        </row>
        <row r="57">
          <cell r="B57">
            <v>2795.75</v>
          </cell>
        </row>
        <row r="58">
          <cell r="B58">
            <v>5920</v>
          </cell>
        </row>
        <row r="59">
          <cell r="B59">
            <v>141.76</v>
          </cell>
        </row>
        <row r="60">
          <cell r="B60">
            <v>868.02</v>
          </cell>
        </row>
        <row r="61">
          <cell r="B61">
            <v>244.64</v>
          </cell>
        </row>
        <row r="62">
          <cell r="B62">
            <v>479.15</v>
          </cell>
        </row>
        <row r="63">
          <cell r="B63">
            <v>681.2</v>
          </cell>
        </row>
        <row r="64">
          <cell r="B64">
            <v>1005</v>
          </cell>
        </row>
        <row r="65">
          <cell r="B65">
            <v>24534</v>
          </cell>
        </row>
        <row r="66">
          <cell r="B66">
            <v>1010</v>
          </cell>
        </row>
        <row r="67">
          <cell r="B67">
            <v>553.22</v>
          </cell>
        </row>
        <row r="68">
          <cell r="B68">
            <v>309.6</v>
          </cell>
        </row>
        <row r="69">
          <cell r="B69">
            <v>428.4</v>
          </cell>
        </row>
        <row r="70">
          <cell r="B70">
            <v>435.41</v>
          </cell>
        </row>
        <row r="71">
          <cell r="B71">
            <v>740.66</v>
          </cell>
        </row>
        <row r="72">
          <cell r="B72">
            <v>2744.69</v>
          </cell>
        </row>
        <row r="73">
          <cell r="B73">
            <v>1665</v>
          </cell>
        </row>
        <row r="74">
          <cell r="B74">
            <v>11640</v>
          </cell>
        </row>
        <row r="75">
          <cell r="B75">
            <v>239.13</v>
          </cell>
        </row>
        <row r="76">
          <cell r="B76">
            <v>1483.51</v>
          </cell>
        </row>
        <row r="77">
          <cell r="B77">
            <v>1078.18</v>
          </cell>
        </row>
        <row r="78">
          <cell r="B78">
            <v>47.5</v>
          </cell>
        </row>
        <row r="79">
          <cell r="B79">
            <v>1221.77</v>
          </cell>
        </row>
        <row r="80">
          <cell r="B80">
            <v>6925.77</v>
          </cell>
        </row>
        <row r="81">
          <cell r="B81">
            <v>70</v>
          </cell>
        </row>
        <row r="82">
          <cell r="B82">
            <v>100</v>
          </cell>
        </row>
        <row r="83">
          <cell r="B83">
            <v>100</v>
          </cell>
        </row>
        <row r="84">
          <cell r="B84">
            <v>100</v>
          </cell>
        </row>
        <row r="85">
          <cell r="B85">
            <v>860.16</v>
          </cell>
        </row>
        <row r="86">
          <cell r="B86">
            <v>43944.98</v>
          </cell>
        </row>
        <row r="87">
          <cell r="B87">
            <v>12109.24</v>
          </cell>
        </row>
        <row r="88">
          <cell r="B88">
            <v>1915.72</v>
          </cell>
        </row>
        <row r="89">
          <cell r="B89">
            <v>3117</v>
          </cell>
        </row>
        <row r="90">
          <cell r="B90">
            <v>1908</v>
          </cell>
        </row>
        <row r="91">
          <cell r="B91">
            <v>3364</v>
          </cell>
        </row>
        <row r="92">
          <cell r="B92">
            <v>12788</v>
          </cell>
        </row>
        <row r="93">
          <cell r="B93">
            <v>885.96</v>
          </cell>
        </row>
        <row r="94">
          <cell r="B94">
            <v>-35.36</v>
          </cell>
        </row>
        <row r="95">
          <cell r="B95">
            <v>32810.01</v>
          </cell>
        </row>
        <row r="96">
          <cell r="B96">
            <v>375.86</v>
          </cell>
        </row>
        <row r="97">
          <cell r="B97">
            <v>195.03</v>
          </cell>
        </row>
        <row r="98">
          <cell r="B98">
            <v>16449.64</v>
          </cell>
        </row>
        <row r="99">
          <cell r="B99">
            <v>40.67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6"/>
  <sheetViews>
    <sheetView tabSelected="1" zoomScale="89" zoomScaleNormal="89" zoomScalePageLayoutView="0" workbookViewId="0" topLeftCell="A169">
      <selection activeCell="C185" sqref="C185"/>
    </sheetView>
  </sheetViews>
  <sheetFormatPr defaultColWidth="9.140625" defaultRowHeight="12.75"/>
  <cols>
    <col min="1" max="1" width="11.7109375" style="5" customWidth="1"/>
    <col min="2" max="2" width="9.28125" style="15" customWidth="1"/>
    <col min="3" max="3" width="43.8515625" style="5" customWidth="1"/>
    <col min="4" max="4" width="19.140625" style="26" customWidth="1"/>
    <col min="5" max="5" width="11.28125" style="22" customWidth="1"/>
    <col min="6" max="6" width="17.421875" style="22" customWidth="1"/>
    <col min="7" max="7" width="9.140625" style="5" customWidth="1"/>
    <col min="8" max="8" width="24.8515625" style="5" customWidth="1"/>
    <col min="9" max="16384" width="9.140625" style="5" customWidth="1"/>
  </cols>
  <sheetData>
    <row r="2" spans="1:6" ht="12.75">
      <c r="A2" s="1"/>
      <c r="B2" s="2"/>
      <c r="C2" s="1"/>
      <c r="D2" s="3"/>
      <c r="E2" s="4"/>
      <c r="F2" s="4"/>
    </row>
    <row r="3" spans="1:6" s="12" customFormat="1" ht="15">
      <c r="A3" s="6"/>
      <c r="B3" s="7"/>
      <c r="C3" s="8" t="s">
        <v>0</v>
      </c>
      <c r="D3" s="9"/>
      <c r="E3" s="10"/>
      <c r="F3" s="11"/>
    </row>
    <row r="4" spans="1:6" s="12" customFormat="1" ht="15">
      <c r="A4" s="6"/>
      <c r="B4" s="13"/>
      <c r="C4" s="8" t="s">
        <v>1</v>
      </c>
      <c r="D4" s="14"/>
      <c r="E4" s="10"/>
      <c r="F4" s="11"/>
    </row>
    <row r="5" spans="1:6" s="12" customFormat="1" ht="15">
      <c r="A5" s="6"/>
      <c r="B5" s="13"/>
      <c r="C5" s="8" t="s">
        <v>594</v>
      </c>
      <c r="D5" s="14"/>
      <c r="E5" s="10"/>
      <c r="F5" s="11"/>
    </row>
    <row r="7" spans="4:6" ht="12.75">
      <c r="D7" s="16"/>
      <c r="E7" s="17" t="s">
        <v>2</v>
      </c>
      <c r="F7" s="17"/>
    </row>
    <row r="8" spans="1:6" ht="12.75">
      <c r="A8" s="18" t="s">
        <v>3</v>
      </c>
      <c r="D8" s="19" t="s">
        <v>595</v>
      </c>
      <c r="E8" s="20" t="s">
        <v>4</v>
      </c>
      <c r="F8" s="20" t="s">
        <v>5</v>
      </c>
    </row>
    <row r="9" spans="2:6" ht="12.75">
      <c r="B9" s="15">
        <v>130</v>
      </c>
      <c r="C9" s="5" t="s">
        <v>6</v>
      </c>
      <c r="D9" s="21">
        <v>0</v>
      </c>
      <c r="E9" s="22">
        <f>'2016 Budget Worksheet'!E11</f>
        <v>6897</v>
      </c>
      <c r="F9" s="22">
        <f aca="true" t="shared" si="0" ref="F9:F56">D9-E9</f>
        <v>-6897</v>
      </c>
    </row>
    <row r="10" spans="2:6" ht="12.75">
      <c r="B10" s="15">
        <v>130</v>
      </c>
      <c r="C10" s="5" t="s">
        <v>7</v>
      </c>
      <c r="D10" s="21">
        <f>D182</f>
        <v>5258.2</v>
      </c>
      <c r="E10" s="22">
        <f>'2016 Budget Worksheet'!E10</f>
        <v>8760</v>
      </c>
      <c r="F10" s="22">
        <f t="shared" si="0"/>
        <v>-3501.8</v>
      </c>
    </row>
    <row r="11" spans="1:6" ht="13.5">
      <c r="A11" s="23"/>
      <c r="B11" s="15">
        <v>300.2</v>
      </c>
      <c r="C11" s="5" t="s">
        <v>8</v>
      </c>
      <c r="D11" s="21">
        <v>0</v>
      </c>
      <c r="E11" s="22">
        <v>0</v>
      </c>
      <c r="F11" s="22">
        <f t="shared" si="0"/>
        <v>0</v>
      </c>
    </row>
    <row r="12" spans="1:8" ht="12.75">
      <c r="A12" s="24" t="s">
        <v>9</v>
      </c>
      <c r="B12" s="15">
        <v>301.1</v>
      </c>
      <c r="C12" s="5" t="s">
        <v>10</v>
      </c>
      <c r="D12" s="21">
        <f>'Profit and Loss (2)'!B7</f>
        <v>99715.67</v>
      </c>
      <c r="E12" s="22">
        <f>'2016 Budget Worksheet'!E17</f>
        <v>115488.8509090909</v>
      </c>
      <c r="F12" s="22">
        <f t="shared" si="0"/>
        <v>-15773.180909090908</v>
      </c>
      <c r="G12" s="99"/>
      <c r="H12" s="22"/>
    </row>
    <row r="13" spans="1:6" ht="12.75">
      <c r="A13" s="24"/>
      <c r="C13" s="5" t="s">
        <v>11</v>
      </c>
      <c r="D13" s="100">
        <f>'Profit and Loss (2)'!B38</f>
        <v>-1430.36</v>
      </c>
      <c r="E13" s="22">
        <v>0</v>
      </c>
      <c r="F13" s="22">
        <f t="shared" si="0"/>
        <v>-1430.36</v>
      </c>
    </row>
    <row r="14" spans="1:8" ht="12.75">
      <c r="A14" s="24"/>
      <c r="B14" s="15">
        <v>301.901</v>
      </c>
      <c r="C14" s="5" t="s">
        <v>12</v>
      </c>
      <c r="D14" s="100">
        <f>'Profit and Loss (2)'!B17</f>
        <v>333.54</v>
      </c>
      <c r="E14" s="22">
        <v>0</v>
      </c>
      <c r="F14" s="22">
        <f t="shared" si="0"/>
        <v>333.54</v>
      </c>
      <c r="H14" s="193"/>
    </row>
    <row r="15" spans="1:6" ht="12.75">
      <c r="A15" s="24"/>
      <c r="B15" s="15">
        <v>301.102</v>
      </c>
      <c r="C15" s="5" t="s">
        <v>13</v>
      </c>
      <c r="D15" s="100">
        <f>'Profit and Loss (2)'!B8</f>
        <v>1694.87</v>
      </c>
      <c r="E15" s="22">
        <v>0</v>
      </c>
      <c r="F15" s="22">
        <f t="shared" si="0"/>
        <v>1694.87</v>
      </c>
    </row>
    <row r="16" spans="1:6" ht="12.75">
      <c r="A16" s="24" t="s">
        <v>14</v>
      </c>
      <c r="B16" s="15">
        <v>301.11</v>
      </c>
      <c r="C16" s="5" t="s">
        <v>15</v>
      </c>
      <c r="D16" s="100">
        <f>'Profit and Loss (2)'!B34</f>
        <v>9352.1</v>
      </c>
      <c r="E16" s="22">
        <f>'2016 Budget Worksheet'!E19</f>
        <v>9057.949090909091</v>
      </c>
      <c r="F16" s="22">
        <f t="shared" si="0"/>
        <v>294.1509090909094</v>
      </c>
    </row>
    <row r="17" spans="1:6" ht="12.75">
      <c r="A17" s="24"/>
      <c r="C17" s="5" t="s">
        <v>16</v>
      </c>
      <c r="D17" s="100">
        <f>'Profit and Loss (2)'!B39</f>
        <v>-124.37</v>
      </c>
      <c r="E17" s="22">
        <v>0</v>
      </c>
      <c r="F17" s="22">
        <f t="shared" si="0"/>
        <v>-124.37</v>
      </c>
    </row>
    <row r="18" spans="1:6" ht="12.75">
      <c r="A18" s="24"/>
      <c r="B18" s="15">
        <v>301.112</v>
      </c>
      <c r="C18" s="5" t="s">
        <v>17</v>
      </c>
      <c r="D18" s="100">
        <f>'Profit and Loss (2)'!B35</f>
        <v>400.2</v>
      </c>
      <c r="E18" s="22">
        <v>0</v>
      </c>
      <c r="F18" s="22">
        <f t="shared" si="0"/>
        <v>400.2</v>
      </c>
    </row>
    <row r="19" spans="1:6" ht="12.75">
      <c r="A19" s="24"/>
      <c r="B19" s="15">
        <v>301.902</v>
      </c>
      <c r="C19" s="5" t="s">
        <v>18</v>
      </c>
      <c r="D19" s="100">
        <f>'Profit and Loss (2)'!B18</f>
        <v>25.42</v>
      </c>
      <c r="E19" s="22">
        <v>0</v>
      </c>
      <c r="F19" s="22">
        <f t="shared" si="0"/>
        <v>25.42</v>
      </c>
    </row>
    <row r="20" spans="1:6" ht="12.75">
      <c r="A20" s="12"/>
      <c r="B20" s="15">
        <v>301.4</v>
      </c>
      <c r="C20" s="5" t="s">
        <v>19</v>
      </c>
      <c r="D20" s="100">
        <f>'Profit and Loss (2)'!B9</f>
        <v>10087.35</v>
      </c>
      <c r="E20" s="22">
        <f>'2016 Budget Worksheet'!E24</f>
        <v>7500</v>
      </c>
      <c r="F20" s="22">
        <f t="shared" si="0"/>
        <v>2587.3500000000004</v>
      </c>
    </row>
    <row r="21" spans="1:6" ht="12.75">
      <c r="A21" s="12"/>
      <c r="C21" s="5" t="s">
        <v>20</v>
      </c>
      <c r="D21" s="100">
        <f>'Profit and Loss (2)'!B46</f>
        <v>920.56</v>
      </c>
      <c r="E21" s="22">
        <v>0</v>
      </c>
      <c r="F21" s="22">
        <f t="shared" si="0"/>
        <v>920.56</v>
      </c>
    </row>
    <row r="22" spans="1:6" ht="12.75">
      <c r="A22" s="24" t="s">
        <v>21</v>
      </c>
      <c r="B22" s="15">
        <v>305.1</v>
      </c>
      <c r="C22" s="5" t="s">
        <v>22</v>
      </c>
      <c r="D22" s="100">
        <f>'Profit and Loss (2)'!B10</f>
        <v>560</v>
      </c>
      <c r="E22" s="22">
        <f>'2016 Budget Worksheet'!E29</f>
        <v>600</v>
      </c>
      <c r="F22" s="22">
        <f t="shared" si="0"/>
        <v>-40</v>
      </c>
    </row>
    <row r="23" spans="1:6" ht="12.75">
      <c r="A23" s="24"/>
      <c r="C23" s="5" t="s">
        <v>23</v>
      </c>
      <c r="D23" s="100">
        <f>'Profit and Loss (2)'!B40</f>
        <v>1.3</v>
      </c>
      <c r="E23" s="22">
        <v>0</v>
      </c>
      <c r="F23" s="22">
        <f t="shared" si="0"/>
        <v>1.3</v>
      </c>
    </row>
    <row r="24" spans="1:6" ht="13.5">
      <c r="A24" s="23"/>
      <c r="B24" s="15">
        <v>305.2</v>
      </c>
      <c r="C24" s="5" t="s">
        <v>24</v>
      </c>
      <c r="D24" s="100">
        <f>'Profit and Loss (2)'!B11</f>
        <v>20</v>
      </c>
      <c r="E24" s="22">
        <v>0</v>
      </c>
      <c r="F24" s="22">
        <f t="shared" si="0"/>
        <v>20</v>
      </c>
    </row>
    <row r="25" spans="1:6" ht="13.5">
      <c r="A25" s="23"/>
      <c r="C25" s="5" t="s">
        <v>25</v>
      </c>
      <c r="D25" s="100">
        <f>'Profit and Loss (2)'!B19</f>
        <v>4</v>
      </c>
      <c r="E25" s="22">
        <v>0</v>
      </c>
      <c r="F25" s="22">
        <f t="shared" si="0"/>
        <v>4</v>
      </c>
    </row>
    <row r="26" spans="1:6" ht="13.5">
      <c r="A26" s="23"/>
      <c r="C26" s="5" t="s">
        <v>26</v>
      </c>
      <c r="D26" s="100">
        <f>'Profit and Loss (2)'!B45</f>
        <v>295.8</v>
      </c>
      <c r="F26" s="22">
        <f t="shared" si="0"/>
        <v>295.8</v>
      </c>
    </row>
    <row r="27" spans="2:6" ht="12.75">
      <c r="B27" s="15">
        <v>310.01</v>
      </c>
      <c r="C27" s="5" t="s">
        <v>27</v>
      </c>
      <c r="D27" s="21">
        <f>'Profit and Loss (2)'!B12</f>
        <v>895</v>
      </c>
      <c r="E27" s="22">
        <f>'2016 Budget Worksheet'!E35</f>
        <v>1000</v>
      </c>
      <c r="F27" s="22">
        <f t="shared" si="0"/>
        <v>-105</v>
      </c>
    </row>
    <row r="28" spans="3:6" ht="12.75">
      <c r="C28" s="5" t="s">
        <v>28</v>
      </c>
      <c r="D28" s="100">
        <f>'Profit and Loss (2)'!B41</f>
        <v>-15.6</v>
      </c>
      <c r="E28" s="22">
        <v>0</v>
      </c>
      <c r="F28" s="22">
        <f t="shared" si="0"/>
        <v>-15.6</v>
      </c>
    </row>
    <row r="29" spans="3:6" ht="12.75">
      <c r="C29" s="5" t="s">
        <v>29</v>
      </c>
      <c r="D29" s="100">
        <f>'Profit and Loss (2)'!B20</f>
        <v>5</v>
      </c>
      <c r="F29" s="22">
        <f t="shared" si="0"/>
        <v>5</v>
      </c>
    </row>
    <row r="30" spans="2:6" ht="12.75">
      <c r="B30" s="15">
        <v>310.02</v>
      </c>
      <c r="C30" s="5" t="s">
        <v>30</v>
      </c>
      <c r="D30" s="21">
        <f>'Profit and Loss (2)'!B13</f>
        <v>35</v>
      </c>
      <c r="E30" s="22">
        <v>0</v>
      </c>
      <c r="F30" s="22">
        <f t="shared" si="0"/>
        <v>35</v>
      </c>
    </row>
    <row r="31" spans="2:6" ht="12.75">
      <c r="B31" s="15">
        <v>310.2</v>
      </c>
      <c r="C31" s="5" t="s">
        <v>31</v>
      </c>
      <c r="D31" s="21">
        <f>'Profit and Loss'!B45</f>
        <v>295.8</v>
      </c>
      <c r="E31" s="22">
        <f>'2016 Budget Worksheet'!E38</f>
        <v>100</v>
      </c>
      <c r="F31" s="22">
        <f t="shared" si="0"/>
        <v>195.8</v>
      </c>
    </row>
    <row r="32" spans="2:6" ht="12.75">
      <c r="B32" s="15">
        <v>310.1</v>
      </c>
      <c r="C32" s="5" t="s">
        <v>32</v>
      </c>
      <c r="D32" s="21">
        <f>'Profit and Loss (2)'!B14</f>
        <v>12147.05</v>
      </c>
      <c r="E32" s="22">
        <f>'2016 Budget Worksheet'!E40</f>
        <v>1000</v>
      </c>
      <c r="F32" s="22">
        <f t="shared" si="0"/>
        <v>11147.05</v>
      </c>
    </row>
    <row r="33" spans="2:6" ht="12.75">
      <c r="B33" s="15">
        <v>310.21</v>
      </c>
      <c r="C33" s="5" t="s">
        <v>33</v>
      </c>
      <c r="D33" s="21">
        <f>'Profit and Loss (2)'!B15</f>
        <v>39436.7</v>
      </c>
      <c r="E33" s="22">
        <f>'2016 Budget Worksheet'!E41</f>
        <v>30000</v>
      </c>
      <c r="F33" s="22">
        <f t="shared" si="0"/>
        <v>9436.699999999997</v>
      </c>
    </row>
    <row r="34" spans="2:6" ht="12.75">
      <c r="B34" s="15">
        <v>310.4</v>
      </c>
      <c r="C34" s="5" t="s">
        <v>34</v>
      </c>
      <c r="D34" s="21">
        <f>'Profit and Loss (2)'!B16</f>
        <v>1476.24</v>
      </c>
      <c r="E34" s="22">
        <f>'2016 Budget Worksheet'!E43</f>
        <v>1000</v>
      </c>
      <c r="F34" s="22">
        <f t="shared" si="0"/>
        <v>476.24</v>
      </c>
    </row>
    <row r="35" spans="2:6" ht="12.75">
      <c r="B35" s="15">
        <v>320.01</v>
      </c>
      <c r="C35" s="5" t="s">
        <v>35</v>
      </c>
      <c r="D35" s="21">
        <f>'Profit and Loss (2)'!B21</f>
        <v>5</v>
      </c>
      <c r="E35" s="22">
        <v>0</v>
      </c>
      <c r="F35" s="22">
        <f t="shared" si="0"/>
        <v>5</v>
      </c>
    </row>
    <row r="36" spans="2:6" ht="12.75">
      <c r="B36" s="15">
        <v>330.01</v>
      </c>
      <c r="C36" s="5" t="s">
        <v>36</v>
      </c>
      <c r="D36" s="21">
        <f>'Profit and Loss (2)'!B22</f>
        <v>100</v>
      </c>
      <c r="E36" s="22">
        <v>0</v>
      </c>
      <c r="F36" s="22">
        <f t="shared" si="0"/>
        <v>100</v>
      </c>
    </row>
    <row r="37" spans="2:6" ht="12.75">
      <c r="B37" s="15">
        <v>331.13</v>
      </c>
      <c r="C37" s="5" t="s">
        <v>37</v>
      </c>
      <c r="D37" s="21">
        <f>'Profit and Loss (2)'!B23</f>
        <v>144.57</v>
      </c>
      <c r="E37" s="22">
        <f>'2016 Budget Worksheet'!E50</f>
        <v>200</v>
      </c>
      <c r="F37" s="22">
        <f t="shared" si="0"/>
        <v>-55.43000000000001</v>
      </c>
    </row>
    <row r="38" spans="2:6" ht="12.75" hidden="1">
      <c r="B38" s="15">
        <v>330.3</v>
      </c>
      <c r="C38" s="5" t="s">
        <v>38</v>
      </c>
      <c r="D38" s="21"/>
      <c r="E38" s="22">
        <v>0</v>
      </c>
      <c r="F38" s="22">
        <f t="shared" si="0"/>
        <v>0</v>
      </c>
    </row>
    <row r="39" spans="2:6" ht="12.75">
      <c r="B39" s="15">
        <v>341</v>
      </c>
      <c r="C39" s="5" t="s">
        <v>39</v>
      </c>
      <c r="D39" s="21">
        <f>'Profit and Loss (2)'!B24</f>
        <v>262.14</v>
      </c>
      <c r="E39" s="22">
        <f>'2016 Budget Worksheet'!E52</f>
        <v>30</v>
      </c>
      <c r="F39" s="22">
        <f t="shared" si="0"/>
        <v>232.14</v>
      </c>
    </row>
    <row r="40" spans="2:6" ht="12.75">
      <c r="B40" s="15">
        <v>340.02</v>
      </c>
      <c r="C40" s="5" t="s">
        <v>40</v>
      </c>
      <c r="D40" s="21">
        <f>'Profit and Loss (2)'!B27</f>
        <v>12</v>
      </c>
      <c r="E40" s="22">
        <f>'2016 Budget Worksheet'!E54</f>
        <v>12</v>
      </c>
      <c r="F40" s="22">
        <f t="shared" si="0"/>
        <v>0</v>
      </c>
    </row>
    <row r="41" spans="2:6" ht="12.75">
      <c r="B41" s="15">
        <v>350.01</v>
      </c>
      <c r="C41" s="5" t="s">
        <v>41</v>
      </c>
      <c r="D41" s="21">
        <f>'Profit and Loss (2)'!B28</f>
        <v>201.36</v>
      </c>
      <c r="E41" s="22">
        <f>'2016 Budget Worksheet'!E57</f>
        <v>200</v>
      </c>
      <c r="F41" s="22">
        <f t="shared" si="0"/>
        <v>1.3600000000000136</v>
      </c>
    </row>
    <row r="42" spans="2:6" ht="12.75">
      <c r="B42" s="15">
        <v>355.07</v>
      </c>
      <c r="C42" s="5" t="s">
        <v>42</v>
      </c>
      <c r="D42" s="21">
        <f>'Profit and Loss (2)'!B30</f>
        <v>2734.8</v>
      </c>
      <c r="E42" s="22">
        <f>'2016 Budget Worksheet'!E87</f>
        <v>2745</v>
      </c>
      <c r="F42" s="22">
        <f t="shared" si="0"/>
        <v>-10.199999999999818</v>
      </c>
    </row>
    <row r="43" spans="2:6" ht="12.75">
      <c r="B43" s="15">
        <v>355.08</v>
      </c>
      <c r="C43" s="5" t="s">
        <v>43</v>
      </c>
      <c r="D43" s="21">
        <f>'Profit and Loss (2)'!B29</f>
        <v>300</v>
      </c>
      <c r="E43" s="22">
        <f>'2016 Budget Worksheet'!E58</f>
        <v>150</v>
      </c>
      <c r="F43" s="22">
        <f t="shared" si="0"/>
        <v>150</v>
      </c>
    </row>
    <row r="44" spans="2:6" ht="12.75">
      <c r="B44" s="15">
        <v>360.1</v>
      </c>
      <c r="C44" s="5" t="s">
        <v>44</v>
      </c>
      <c r="D44" s="21">
        <f>'Profit and Loss (2)'!B36</f>
        <v>36842.03</v>
      </c>
      <c r="E44" s="22">
        <f>'2016 Budget Worksheet'!E71</f>
        <v>45000</v>
      </c>
      <c r="F44" s="22">
        <f t="shared" si="0"/>
        <v>-8157.970000000001</v>
      </c>
    </row>
    <row r="45" spans="2:6" ht="12.75">
      <c r="B45" s="15">
        <v>306.02</v>
      </c>
      <c r="C45" s="5" t="s">
        <v>45</v>
      </c>
      <c r="D45" s="21">
        <f>'Profit and Loss (2)'!B37</f>
        <v>4010.32</v>
      </c>
      <c r="E45" s="22">
        <f>'2016 Budget Worksheet'!E72</f>
        <v>1000</v>
      </c>
      <c r="F45" s="22">
        <f t="shared" si="0"/>
        <v>3010.32</v>
      </c>
    </row>
    <row r="46" spans="2:6" ht="12.75">
      <c r="B46" s="15">
        <v>361.3</v>
      </c>
      <c r="C46" s="5" t="s">
        <v>46</v>
      </c>
      <c r="D46" s="21">
        <f>'Profit and Loss (2)'!B31</f>
        <v>1126</v>
      </c>
      <c r="E46" s="22">
        <f>'2016 Budget Worksheet'!E61</f>
        <v>250</v>
      </c>
      <c r="F46" s="22">
        <f t="shared" si="0"/>
        <v>876</v>
      </c>
    </row>
    <row r="47" spans="3:6" ht="12.75">
      <c r="C47" s="5" t="s">
        <v>47</v>
      </c>
      <c r="D47" s="21"/>
      <c r="E47" s="22">
        <v>0</v>
      </c>
      <c r="F47" s="22">
        <f t="shared" si="0"/>
        <v>0</v>
      </c>
    </row>
    <row r="48" spans="3:6" ht="12.75">
      <c r="C48" s="5" t="s">
        <v>48</v>
      </c>
      <c r="D48" s="21"/>
      <c r="E48" s="22">
        <v>250</v>
      </c>
      <c r="F48" s="22">
        <f t="shared" si="0"/>
        <v>-250</v>
      </c>
    </row>
    <row r="49" spans="3:6" ht="12.75">
      <c r="C49" s="5" t="s">
        <v>49</v>
      </c>
      <c r="D49" s="21">
        <f>'Profit and Loss (2)'!B32</f>
        <v>900</v>
      </c>
      <c r="E49" s="22">
        <v>250</v>
      </c>
      <c r="F49" s="22">
        <f t="shared" si="0"/>
        <v>650</v>
      </c>
    </row>
    <row r="50" spans="2:6" ht="12.75">
      <c r="B50" s="15">
        <v>361.33</v>
      </c>
      <c r="C50" s="5" t="s">
        <v>50</v>
      </c>
      <c r="D50" s="21"/>
      <c r="E50" s="22">
        <v>0</v>
      </c>
      <c r="F50" s="22">
        <f t="shared" si="0"/>
        <v>0</v>
      </c>
    </row>
    <row r="51" spans="2:6" ht="12.75">
      <c r="B51" s="15">
        <v>370</v>
      </c>
      <c r="C51" s="5" t="s">
        <v>51</v>
      </c>
      <c r="D51" s="21"/>
      <c r="E51" s="22">
        <v>0</v>
      </c>
      <c r="F51" s="22">
        <f t="shared" si="0"/>
        <v>0</v>
      </c>
    </row>
    <row r="52" spans="2:6" ht="12.75">
      <c r="B52" s="15">
        <v>380</v>
      </c>
      <c r="C52" s="5" t="s">
        <v>52</v>
      </c>
      <c r="D52" s="21">
        <v>0</v>
      </c>
      <c r="E52" s="22">
        <f>'2016 Budget Worksheet'!E78</f>
        <v>150</v>
      </c>
      <c r="F52" s="22">
        <f t="shared" si="0"/>
        <v>-150</v>
      </c>
    </row>
    <row r="53" spans="2:6" ht="12.75">
      <c r="B53" s="15">
        <v>387</v>
      </c>
      <c r="C53" s="5" t="s">
        <v>53</v>
      </c>
      <c r="D53" s="21">
        <f>'Profit and Loss (2)'!B33</f>
        <v>2200</v>
      </c>
      <c r="E53" s="22">
        <f>'2016 Budget Worksheet'!E75</f>
        <v>100</v>
      </c>
      <c r="F53" s="22">
        <f t="shared" si="0"/>
        <v>2100</v>
      </c>
    </row>
    <row r="54" spans="2:6" ht="12.75">
      <c r="B54" s="15">
        <v>355.041</v>
      </c>
      <c r="C54" s="5" t="s">
        <v>54</v>
      </c>
      <c r="D54" s="21">
        <f>'Profit and Loss (2)'!B25</f>
        <v>93.45</v>
      </c>
      <c r="E54" s="22">
        <f>'2016 Budget Worksheet'!E86</f>
        <v>3</v>
      </c>
      <c r="F54" s="22">
        <f t="shared" si="0"/>
        <v>90.45</v>
      </c>
    </row>
    <row r="55" spans="2:6" ht="12.75">
      <c r="B55" s="15">
        <v>355</v>
      </c>
      <c r="C55" s="5" t="s">
        <v>55</v>
      </c>
      <c r="D55" s="21">
        <f>'Profit and Loss (2)'!B42</f>
        <v>22054.15</v>
      </c>
      <c r="E55" s="22">
        <f>'2016 Budget Worksheet'!E85</f>
        <v>21489</v>
      </c>
      <c r="F55" s="22">
        <f t="shared" si="0"/>
        <v>565.1500000000015</v>
      </c>
    </row>
    <row r="56" spans="3:6" ht="12.75">
      <c r="C56" s="5" t="s">
        <v>56</v>
      </c>
      <c r="D56" s="21">
        <f>'Profit and Loss (2)'!B44-4</f>
        <v>7060.41</v>
      </c>
      <c r="E56" s="25">
        <v>0</v>
      </c>
      <c r="F56" s="22">
        <f t="shared" si="0"/>
        <v>7060.41</v>
      </c>
    </row>
    <row r="57" spans="3:10" ht="12.75">
      <c r="C57" s="12" t="s">
        <v>57</v>
      </c>
      <c r="D57" s="109">
        <f>SUM(D9:D56)</f>
        <v>259435.69999999998</v>
      </c>
      <c r="E57" s="109">
        <f>SUM(E9:E56)</f>
        <v>253232.8</v>
      </c>
      <c r="F57" s="109">
        <f>SUM(F9:F56)</f>
        <v>6202.899999999997</v>
      </c>
      <c r="H57" s="22"/>
      <c r="I57" s="99"/>
      <c r="J57" s="22"/>
    </row>
    <row r="58" spans="3:10" ht="12.75">
      <c r="C58" s="12"/>
      <c r="D58" s="32"/>
      <c r="E58" s="33"/>
      <c r="F58" s="33"/>
      <c r="H58" s="22"/>
      <c r="I58" s="99"/>
      <c r="J58" s="22"/>
    </row>
    <row r="59" spans="3:10" ht="14.25" customHeight="1">
      <c r="C59" s="12"/>
      <c r="D59" s="32"/>
      <c r="E59" s="33"/>
      <c r="F59" s="33"/>
      <c r="H59" s="22"/>
      <c r="I59" s="99"/>
      <c r="J59" s="22"/>
    </row>
    <row r="60" spans="2:8" ht="12.75">
      <c r="B60" s="5"/>
      <c r="D60" s="29"/>
      <c r="E60" s="27"/>
      <c r="F60" s="5"/>
      <c r="G60" s="22"/>
      <c r="H60" s="22"/>
    </row>
    <row r="61" spans="2:6" ht="12.75">
      <c r="B61" s="5"/>
      <c r="D61" s="16"/>
      <c r="E61" s="17" t="str">
        <f>E7</f>
        <v>2016</v>
      </c>
      <c r="F61" s="17"/>
    </row>
    <row r="62" spans="2:6" ht="12.75">
      <c r="B62" s="5"/>
      <c r="D62" s="19" t="str">
        <f>D8</f>
        <v>December</v>
      </c>
      <c r="E62" s="20" t="s">
        <v>4</v>
      </c>
      <c r="F62" s="20" t="s">
        <v>5</v>
      </c>
    </row>
    <row r="63" ht="12.75">
      <c r="A63" s="18" t="s">
        <v>58</v>
      </c>
    </row>
    <row r="64" spans="1:6" ht="12.75">
      <c r="A64" s="5">
        <v>400</v>
      </c>
      <c r="B64" s="28" t="s">
        <v>59</v>
      </c>
      <c r="D64" s="29"/>
      <c r="F64" s="30"/>
    </row>
    <row r="65" spans="2:6" ht="12.75" hidden="1">
      <c r="B65" s="15">
        <v>400.063</v>
      </c>
      <c r="C65" s="5" t="s">
        <v>60</v>
      </c>
      <c r="D65" s="29">
        <v>0</v>
      </c>
      <c r="E65" s="22">
        <v>0</v>
      </c>
      <c r="F65" s="22">
        <f>D65-E65</f>
        <v>0</v>
      </c>
    </row>
    <row r="66" spans="2:6" ht="12.75">
      <c r="B66" s="15">
        <v>400.105</v>
      </c>
      <c r="C66" s="5" t="s">
        <v>61</v>
      </c>
      <c r="D66" s="29">
        <f>'Profit and Loss (2)'!B51+300</f>
        <v>4400</v>
      </c>
      <c r="E66" s="22">
        <f>'2016 Budget Worksheet'!E101</f>
        <v>4800</v>
      </c>
      <c r="F66" s="22">
        <f>D66-E66</f>
        <v>-400</v>
      </c>
    </row>
    <row r="67" spans="2:6" ht="12.75">
      <c r="B67" s="15">
        <v>400.42</v>
      </c>
      <c r="C67" s="5" t="s">
        <v>62</v>
      </c>
      <c r="D67" s="29">
        <f>'Profit and Loss (2)'!B53</f>
        <v>459</v>
      </c>
      <c r="E67" s="22">
        <v>100</v>
      </c>
      <c r="F67" s="22">
        <f>D67-E67</f>
        <v>359</v>
      </c>
    </row>
    <row r="68" spans="3:6" ht="12.75">
      <c r="C68" s="5" t="s">
        <v>63</v>
      </c>
      <c r="D68" s="29"/>
      <c r="E68" s="22">
        <v>500</v>
      </c>
      <c r="F68" s="22">
        <f>D68-E68</f>
        <v>-500</v>
      </c>
    </row>
    <row r="69" spans="3:5" ht="12.75">
      <c r="C69" s="5" t="s">
        <v>64</v>
      </c>
      <c r="D69" s="29"/>
      <c r="E69" s="22">
        <f>'2016 Budget Worksheet'!E104</f>
        <v>500</v>
      </c>
    </row>
    <row r="70" spans="1:4" ht="12.75">
      <c r="A70" s="5">
        <v>401</v>
      </c>
      <c r="B70" s="28" t="s">
        <v>65</v>
      </c>
      <c r="D70" s="29"/>
    </row>
    <row r="71" spans="2:6" ht="12.75">
      <c r="B71" s="15">
        <v>401.105</v>
      </c>
      <c r="C71" s="5" t="s">
        <v>66</v>
      </c>
      <c r="D71" s="29">
        <f>'Profit and Loss (2)'!B57</f>
        <v>1100</v>
      </c>
      <c r="E71" s="22">
        <v>1200</v>
      </c>
      <c r="F71" s="22">
        <f>D71-E71</f>
        <v>-100</v>
      </c>
    </row>
    <row r="72" spans="2:6" ht="12.75">
      <c r="B72" s="15">
        <v>401.42</v>
      </c>
      <c r="C72" s="5" t="s">
        <v>67</v>
      </c>
      <c r="D72" s="29"/>
      <c r="E72" s="22">
        <v>50</v>
      </c>
      <c r="F72" s="22">
        <f>D72-E72</f>
        <v>-50</v>
      </c>
    </row>
    <row r="73" spans="1:4" ht="12.75">
      <c r="A73" s="5">
        <v>402</v>
      </c>
      <c r="B73" s="28" t="s">
        <v>68</v>
      </c>
      <c r="D73" s="29"/>
    </row>
    <row r="74" spans="2:6" ht="12.75">
      <c r="B74" s="15">
        <v>400.28000000000003</v>
      </c>
      <c r="C74" s="5" t="s">
        <v>68</v>
      </c>
      <c r="D74" s="29">
        <f>'Profit and Loss (2)'!B58</f>
        <v>2700</v>
      </c>
      <c r="E74" s="22">
        <f>'2016 Budget Worksheet'!D110</f>
        <v>2500</v>
      </c>
      <c r="F74" s="30">
        <f>D74-E74</f>
        <v>200</v>
      </c>
    </row>
    <row r="75" spans="4:6" ht="12.75">
      <c r="D75" s="29"/>
      <c r="F75" s="30"/>
    </row>
    <row r="76" spans="4:6" ht="12.75" hidden="1">
      <c r="D76" s="16"/>
      <c r="E76" s="17" t="str">
        <f>E61</f>
        <v>2016</v>
      </c>
      <c r="F76" s="17"/>
    </row>
    <row r="77" spans="4:6" ht="12.75" hidden="1">
      <c r="D77" s="19"/>
      <c r="E77" s="20" t="s">
        <v>4</v>
      </c>
      <c r="F77" s="20" t="s">
        <v>5</v>
      </c>
    </row>
    <row r="78" spans="1:6" ht="12.75">
      <c r="A78" s="5">
        <v>403</v>
      </c>
      <c r="B78" s="28" t="s">
        <v>69</v>
      </c>
      <c r="D78" s="29"/>
      <c r="F78" s="30"/>
    </row>
    <row r="79" spans="2:6" ht="12.75">
      <c r="B79" s="15">
        <v>403.105</v>
      </c>
      <c r="C79" s="5" t="s">
        <v>70</v>
      </c>
      <c r="D79" s="29">
        <f>'Profit and Loss (2)'!B59</f>
        <v>2750</v>
      </c>
      <c r="E79" s="22">
        <f>'2016 Budget Worksheet'!E113</f>
        <v>3000</v>
      </c>
      <c r="F79" s="22">
        <f>D79-E79</f>
        <v>-250</v>
      </c>
    </row>
    <row r="80" spans="2:6" ht="12.75">
      <c r="B80" s="15">
        <v>403.116</v>
      </c>
      <c r="C80" s="5" t="s">
        <v>71</v>
      </c>
      <c r="D80" s="29"/>
      <c r="E80" s="22">
        <v>0</v>
      </c>
      <c r="F80" s="22">
        <f>D80-E80</f>
        <v>0</v>
      </c>
    </row>
    <row r="81" spans="3:5" ht="12.75">
      <c r="C81" s="5" t="s">
        <v>72</v>
      </c>
      <c r="D81" s="29"/>
      <c r="E81" s="22">
        <f>'2016 Budget Worksheet'!E115</f>
        <v>500</v>
      </c>
    </row>
    <row r="82" spans="2:6" ht="12.75">
      <c r="B82" s="15">
        <v>403.21000000000004</v>
      </c>
      <c r="C82" s="5" t="s">
        <v>73</v>
      </c>
      <c r="D82" s="29">
        <f>'Profit and Loss (2)'!B60+'Profit and Loss (2)'!B61</f>
        <v>253.01</v>
      </c>
      <c r="E82" s="22">
        <f>'2016 Budget Worksheet'!E116</f>
        <v>200</v>
      </c>
      <c r="F82" s="30">
        <f>D82-E82</f>
        <v>53.00999999999999</v>
      </c>
    </row>
    <row r="83" spans="1:6" ht="12.75">
      <c r="A83" s="5">
        <v>404</v>
      </c>
      <c r="B83" s="28" t="s">
        <v>74</v>
      </c>
      <c r="D83" s="29"/>
      <c r="F83" s="30"/>
    </row>
    <row r="84" spans="2:6" ht="12.75">
      <c r="B84" s="15">
        <v>404.31</v>
      </c>
      <c r="C84" s="5" t="s">
        <v>75</v>
      </c>
      <c r="D84" s="29">
        <f>'Profit and Loss (2)'!B62</f>
        <v>5538.18</v>
      </c>
      <c r="E84" s="22">
        <v>4000</v>
      </c>
      <c r="F84" s="22">
        <f>D84-E84</f>
        <v>1538.1800000000003</v>
      </c>
    </row>
    <row r="85" spans="2:6" ht="12.75">
      <c r="B85" s="15">
        <v>404.311</v>
      </c>
      <c r="C85" s="5" t="s">
        <v>76</v>
      </c>
      <c r="D85" s="29"/>
      <c r="E85" s="22">
        <v>1000</v>
      </c>
      <c r="F85" s="22">
        <f>D85-E85</f>
        <v>-1000</v>
      </c>
    </row>
    <row r="86" spans="1:4" ht="12.75">
      <c r="A86" s="5">
        <v>405</v>
      </c>
      <c r="B86" s="28" t="s">
        <v>77</v>
      </c>
      <c r="D86" s="29"/>
    </row>
    <row r="87" spans="2:6" ht="12.75">
      <c r="B87" s="15">
        <v>405.115</v>
      </c>
      <c r="C87" s="5" t="s">
        <v>78</v>
      </c>
      <c r="D87" s="29">
        <f>'Profit and Loss (2)'!B63</f>
        <v>6512</v>
      </c>
      <c r="E87" s="22">
        <v>7100</v>
      </c>
      <c r="F87" s="22">
        <f aca="true" t="shared" si="1" ref="F87:F94">D87-E87</f>
        <v>-588</v>
      </c>
    </row>
    <row r="88" spans="2:6" ht="12.75" hidden="1">
      <c r="B88" s="15">
        <v>405.116</v>
      </c>
      <c r="C88" s="5" t="s">
        <v>79</v>
      </c>
      <c r="D88" s="29"/>
      <c r="E88" s="22">
        <v>0</v>
      </c>
      <c r="F88" s="22">
        <f t="shared" si="1"/>
        <v>0</v>
      </c>
    </row>
    <row r="89" spans="2:6" ht="12.75">
      <c r="B89" s="15">
        <v>405.22</v>
      </c>
      <c r="C89" s="5" t="s">
        <v>80</v>
      </c>
      <c r="D89" s="29">
        <f>'Profit and Loss (2)'!B65</f>
        <v>898.02</v>
      </c>
      <c r="E89" s="22">
        <v>1100</v>
      </c>
      <c r="F89" s="22">
        <f t="shared" si="1"/>
        <v>-201.98000000000002</v>
      </c>
    </row>
    <row r="90" spans="2:6" ht="12.75">
      <c r="B90" s="15">
        <v>405.21000000000004</v>
      </c>
      <c r="C90" s="5" t="s">
        <v>81</v>
      </c>
      <c r="D90" s="29">
        <f>'Profit and Loss (2)'!B64</f>
        <v>415.48</v>
      </c>
      <c r="E90" s="22">
        <f>'2016 Budget Worksheet'!E124</f>
        <v>500</v>
      </c>
      <c r="F90" s="22">
        <f t="shared" si="1"/>
        <v>-84.51999999999998</v>
      </c>
    </row>
    <row r="91" spans="2:6" ht="12.75">
      <c r="B91" s="15">
        <v>405.211</v>
      </c>
      <c r="C91" s="5" t="s">
        <v>82</v>
      </c>
      <c r="D91" s="29"/>
      <c r="E91" s="22">
        <v>100</v>
      </c>
      <c r="F91" s="22">
        <f t="shared" si="1"/>
        <v>-100</v>
      </c>
    </row>
    <row r="92" spans="2:6" ht="12.75">
      <c r="B92" s="15">
        <v>405.21500000000003</v>
      </c>
      <c r="C92" s="5" t="s">
        <v>83</v>
      </c>
      <c r="D92" s="29">
        <f>'Profit and Loss (2)'!B66</f>
        <v>77.68</v>
      </c>
      <c r="E92" s="22">
        <v>300</v>
      </c>
      <c r="F92" s="22">
        <f t="shared" si="1"/>
        <v>-222.32</v>
      </c>
    </row>
    <row r="93" spans="2:6" ht="12.75">
      <c r="B93" s="15">
        <v>405.341</v>
      </c>
      <c r="C93" s="5" t="s">
        <v>84</v>
      </c>
      <c r="D93" s="29">
        <f>'Profit and Loss (2)'!B68</f>
        <v>1413.26</v>
      </c>
      <c r="E93" s="22">
        <v>1000</v>
      </c>
      <c r="F93" s="22">
        <f t="shared" si="1"/>
        <v>413.26</v>
      </c>
    </row>
    <row r="94" spans="2:6" ht="12.75">
      <c r="B94" s="15">
        <v>405.353</v>
      </c>
      <c r="C94" s="5" t="s">
        <v>85</v>
      </c>
      <c r="D94" s="29">
        <f>'Profit and Loss (2)'!B69</f>
        <v>435</v>
      </c>
      <c r="E94" s="22">
        <v>450</v>
      </c>
      <c r="F94" s="22">
        <f t="shared" si="1"/>
        <v>-15</v>
      </c>
    </row>
    <row r="95" spans="1:4" ht="12.75">
      <c r="A95" s="5">
        <v>408</v>
      </c>
      <c r="B95" s="12" t="s">
        <v>86</v>
      </c>
      <c r="D95" s="29"/>
    </row>
    <row r="96" spans="2:6" ht="12.75">
      <c r="B96" s="5">
        <v>408.313</v>
      </c>
      <c r="C96" s="5" t="s">
        <v>87</v>
      </c>
      <c r="D96" s="29">
        <f>'Profit and Loss (2)'!B70</f>
        <v>1124</v>
      </c>
      <c r="E96" s="22">
        <f>'2016 Budget Worksheet'!E138</f>
        <v>2000</v>
      </c>
      <c r="F96" s="30">
        <f aca="true" t="shared" si="2" ref="F96:F101">D96-E96</f>
        <v>-876</v>
      </c>
    </row>
    <row r="97" spans="2:6" ht="12.75">
      <c r="B97" s="5">
        <v>408.314</v>
      </c>
      <c r="C97" s="5" t="s">
        <v>88</v>
      </c>
      <c r="D97" s="29">
        <f>'Profit and Loss (2)'!B71</f>
        <v>5864</v>
      </c>
      <c r="E97" s="22">
        <f>'2016 Budget Worksheet'!E142</f>
        <v>8000</v>
      </c>
      <c r="F97" s="30">
        <f t="shared" si="2"/>
        <v>-2136</v>
      </c>
    </row>
    <row r="98" spans="2:6" ht="12.75">
      <c r="B98" s="5">
        <v>408.315</v>
      </c>
      <c r="C98" s="5" t="s">
        <v>89</v>
      </c>
      <c r="D98" s="29"/>
      <c r="E98" s="22">
        <v>0</v>
      </c>
      <c r="F98" s="30">
        <f t="shared" si="2"/>
        <v>0</v>
      </c>
    </row>
    <row r="99" spans="2:6" ht="12.75">
      <c r="B99" s="5">
        <v>408.316</v>
      </c>
      <c r="C99" s="5" t="s">
        <v>90</v>
      </c>
      <c r="D99" s="29"/>
      <c r="E99" s="22">
        <f>'2016 Budget Worksheet'!E141</f>
        <v>500</v>
      </c>
      <c r="F99" s="30">
        <f t="shared" si="2"/>
        <v>-500</v>
      </c>
    </row>
    <row r="100" spans="2:6" ht="12.75">
      <c r="B100" s="5">
        <v>408.317</v>
      </c>
      <c r="C100" s="5" t="s">
        <v>91</v>
      </c>
      <c r="D100" s="29">
        <f>'Profit and Loss (2)'!B72</f>
        <v>331</v>
      </c>
      <c r="E100" s="22">
        <f>'2016 Budget Worksheet'!E140</f>
        <v>1000</v>
      </c>
      <c r="F100" s="30">
        <f t="shared" si="2"/>
        <v>-669</v>
      </c>
    </row>
    <row r="101" spans="2:6" ht="12.75">
      <c r="B101" s="5">
        <v>408.317</v>
      </c>
      <c r="C101" s="5" t="s">
        <v>92</v>
      </c>
      <c r="D101" s="29"/>
      <c r="E101" s="22">
        <v>0</v>
      </c>
      <c r="F101" s="30">
        <f t="shared" si="2"/>
        <v>0</v>
      </c>
    </row>
    <row r="102" spans="1:6" ht="12.75">
      <c r="A102" s="5">
        <v>409</v>
      </c>
      <c r="B102" s="12" t="s">
        <v>93</v>
      </c>
      <c r="D102" s="29"/>
      <c r="F102" s="30"/>
    </row>
    <row r="103" spans="2:6" ht="12.75">
      <c r="B103" s="15">
        <v>409.321</v>
      </c>
      <c r="C103" s="5" t="s">
        <v>94</v>
      </c>
      <c r="D103" s="29">
        <f>'Profit and Loss (2)'!B73</f>
        <v>747.94</v>
      </c>
      <c r="E103" s="22">
        <f>'2016 Budget Worksheet'!E147</f>
        <v>650</v>
      </c>
      <c r="F103" s="22">
        <f aca="true" t="shared" si="3" ref="F103:F112">D103-E103</f>
        <v>97.94000000000005</v>
      </c>
    </row>
    <row r="104" spans="2:6" ht="12.75">
      <c r="B104" s="15">
        <v>409.329</v>
      </c>
      <c r="C104" s="5" t="s">
        <v>95</v>
      </c>
      <c r="D104" s="29">
        <f>'Profit and Loss (2)'!B74</f>
        <v>611.33</v>
      </c>
      <c r="E104" s="22">
        <f>'2016 Budget Worksheet'!E148</f>
        <v>500</v>
      </c>
      <c r="F104" s="22">
        <f t="shared" si="3"/>
        <v>111.33000000000004</v>
      </c>
    </row>
    <row r="105" spans="2:6" ht="12.75">
      <c r="B105" s="15">
        <v>409.33</v>
      </c>
      <c r="C105" s="5" t="s">
        <v>96</v>
      </c>
      <c r="D105" s="29">
        <f>'Profit and Loss (2)'!B52</f>
        <v>49</v>
      </c>
      <c r="E105" s="22">
        <v>0</v>
      </c>
      <c r="F105" s="22">
        <f t="shared" si="3"/>
        <v>49</v>
      </c>
    </row>
    <row r="106" spans="2:6" ht="12.75">
      <c r="B106" s="15">
        <v>409.361</v>
      </c>
      <c r="C106" s="5" t="s">
        <v>97</v>
      </c>
      <c r="D106" s="29">
        <f>'Profit and Loss (2)'!B75</f>
        <v>612.68</v>
      </c>
      <c r="E106" s="22">
        <f>'2016 Budget Worksheet'!E149</f>
        <v>500</v>
      </c>
      <c r="F106" s="22">
        <f t="shared" si="3"/>
        <v>112.67999999999995</v>
      </c>
    </row>
    <row r="107" spans="2:6" ht="12.75">
      <c r="B107" s="15">
        <v>409.368</v>
      </c>
      <c r="C107" s="5" t="s">
        <v>98</v>
      </c>
      <c r="D107" s="29">
        <f>'Profit and Loss (2)'!B76</f>
        <v>738.33</v>
      </c>
      <c r="E107" s="22">
        <f>'2016 Budget Worksheet'!E151</f>
        <v>1500</v>
      </c>
      <c r="F107" s="22">
        <f t="shared" si="3"/>
        <v>-761.67</v>
      </c>
    </row>
    <row r="108" spans="2:6" ht="12.75">
      <c r="B108" s="15">
        <v>409.37</v>
      </c>
      <c r="C108" s="5" t="s">
        <v>99</v>
      </c>
      <c r="D108" s="29">
        <f>'Profit and Loss (2)'!B77</f>
        <v>1508.74</v>
      </c>
      <c r="E108" s="22">
        <f>'2016 Budget Worksheet'!E150</f>
        <v>100</v>
      </c>
      <c r="F108" s="22">
        <f t="shared" si="3"/>
        <v>1408.74</v>
      </c>
    </row>
    <row r="109" spans="3:6" ht="12.75">
      <c r="C109" s="5" t="s">
        <v>100</v>
      </c>
      <c r="D109" s="29"/>
      <c r="E109" s="22">
        <f>'2016 Budget Worksheet'!E146</f>
        <v>100</v>
      </c>
      <c r="F109" s="22">
        <f t="shared" si="3"/>
        <v>-100</v>
      </c>
    </row>
    <row r="110" spans="2:6" ht="12.75">
      <c r="B110" s="15">
        <v>407.22</v>
      </c>
      <c r="C110" s="5" t="s">
        <v>101</v>
      </c>
      <c r="D110" s="29"/>
      <c r="E110" s="22">
        <f>'2016 Budget Worksheet'!E152</f>
        <v>1000</v>
      </c>
      <c r="F110" s="22">
        <f t="shared" si="3"/>
        <v>-1000</v>
      </c>
    </row>
    <row r="111" spans="2:6" ht="12.75">
      <c r="B111" s="15">
        <v>407.22</v>
      </c>
      <c r="C111" s="5" t="s">
        <v>102</v>
      </c>
      <c r="D111" s="29">
        <f>'Profit and Loss (2)'!B103</f>
        <v>105.99</v>
      </c>
      <c r="E111" s="22">
        <v>0</v>
      </c>
      <c r="F111" s="22">
        <f t="shared" si="3"/>
        <v>105.99</v>
      </c>
    </row>
    <row r="112" spans="2:6" ht="12.75">
      <c r="B112" s="15">
        <v>409.5</v>
      </c>
      <c r="C112" s="5" t="s">
        <v>103</v>
      </c>
      <c r="D112" s="29"/>
      <c r="E112" s="22">
        <v>0</v>
      </c>
      <c r="F112" s="22">
        <f t="shared" si="3"/>
        <v>0</v>
      </c>
    </row>
    <row r="113" spans="1:4" ht="12.75">
      <c r="A113" s="5">
        <v>411</v>
      </c>
      <c r="B113" s="28" t="s">
        <v>104</v>
      </c>
      <c r="D113" s="29"/>
    </row>
    <row r="114" spans="2:6" ht="12.75">
      <c r="B114" s="15">
        <v>411.01</v>
      </c>
      <c r="C114" s="5" t="s">
        <v>105</v>
      </c>
      <c r="D114" s="29">
        <f>'Profit and Loss (2)'!B100</f>
        <v>1181.28</v>
      </c>
      <c r="E114" s="22">
        <f>'2016 Budget Worksheet'!E156</f>
        <v>1181.28</v>
      </c>
      <c r="F114" s="22">
        <f>D114-E114</f>
        <v>0</v>
      </c>
    </row>
    <row r="115" spans="2:8" ht="12.75">
      <c r="B115" s="15">
        <v>411.03000000000003</v>
      </c>
      <c r="C115" s="5" t="s">
        <v>106</v>
      </c>
      <c r="D115" s="29">
        <f>'Profit and Loss (2)'!B99-6137</f>
        <v>9540</v>
      </c>
      <c r="E115" s="22">
        <f>'2016 Budget Worksheet'!E157</f>
        <v>9000</v>
      </c>
      <c r="F115" s="22">
        <f>D115-E115</f>
        <v>540</v>
      </c>
      <c r="H115" s="22"/>
    </row>
    <row r="116" spans="3:5" ht="12.75">
      <c r="C116" s="5" t="s">
        <v>107</v>
      </c>
      <c r="D116" s="29">
        <v>6137</v>
      </c>
      <c r="E116" s="22">
        <f>'2016 Budget Worksheet'!E158</f>
        <v>5900</v>
      </c>
    </row>
    <row r="117" spans="2:6" ht="12.75">
      <c r="B117" s="15">
        <v>411.04</v>
      </c>
      <c r="C117" s="5" t="s">
        <v>108</v>
      </c>
      <c r="D117" s="29">
        <f>'Profit and Loss (2)'!B78</f>
        <v>2734.8</v>
      </c>
      <c r="E117" s="22">
        <f>'2016 Budget Worksheet'!E159</f>
        <v>2745</v>
      </c>
      <c r="F117" s="22">
        <f>D117-E117</f>
        <v>-10.199999999999818</v>
      </c>
    </row>
    <row r="118" spans="1:6" ht="12.75">
      <c r="A118" s="31" t="s">
        <v>109</v>
      </c>
      <c r="B118" s="28" t="s">
        <v>110</v>
      </c>
      <c r="D118" s="29"/>
      <c r="F118" s="30"/>
    </row>
    <row r="119" spans="2:6" ht="12.75">
      <c r="B119" s="15">
        <v>414.115</v>
      </c>
      <c r="C119" s="5" t="s">
        <v>111</v>
      </c>
      <c r="D119" s="29">
        <f>'Profit and Loss (2)'!B79</f>
        <v>218.75</v>
      </c>
      <c r="E119" s="22">
        <f>'2016 Budget Worksheet'!E162</f>
        <v>500</v>
      </c>
      <c r="F119" s="22">
        <f aca="true" t="shared" si="4" ref="F119:F124">D119-E119</f>
        <v>-281.25</v>
      </c>
    </row>
    <row r="120" spans="2:6" ht="12.75">
      <c r="B120" s="15">
        <v>400.31</v>
      </c>
      <c r="C120" s="5" t="s">
        <v>112</v>
      </c>
      <c r="D120" s="29"/>
      <c r="E120" s="22">
        <f>'2016 Budget Worksheet'!E163</f>
        <v>500</v>
      </c>
      <c r="F120" s="30">
        <f t="shared" si="4"/>
        <v>-500</v>
      </c>
    </row>
    <row r="121" spans="2:6" ht="12.75" hidden="1">
      <c r="B121" s="15">
        <v>400.101</v>
      </c>
      <c r="C121" s="5" t="s">
        <v>113</v>
      </c>
      <c r="D121" s="29"/>
      <c r="E121" s="22">
        <v>0</v>
      </c>
      <c r="F121" s="22">
        <f t="shared" si="4"/>
        <v>0</v>
      </c>
    </row>
    <row r="122" spans="2:6" ht="12.75">
      <c r="B122" s="15">
        <v>400.062</v>
      </c>
      <c r="C122" s="5" t="s">
        <v>114</v>
      </c>
      <c r="D122" s="29">
        <f>'Profit and Loss (2)'!B54</f>
        <v>851</v>
      </c>
      <c r="E122" s="22">
        <f>'2016 Budget Worksheet'!E166</f>
        <v>1000</v>
      </c>
      <c r="F122" s="22">
        <f t="shared" si="4"/>
        <v>-149</v>
      </c>
    </row>
    <row r="123" spans="2:6" ht="12.75">
      <c r="B123" s="15">
        <v>400.063</v>
      </c>
      <c r="C123" s="5" t="s">
        <v>60</v>
      </c>
      <c r="D123" s="29">
        <f>'Profit and Loss (2)'!B55</f>
        <v>803.25</v>
      </c>
      <c r="E123" s="22">
        <f>'2016 Budget Worksheet'!E164</f>
        <v>1500</v>
      </c>
      <c r="F123" s="30">
        <f t="shared" si="4"/>
        <v>-696.75</v>
      </c>
    </row>
    <row r="124" spans="2:6" ht="12.75">
      <c r="B124" s="15">
        <v>400.064</v>
      </c>
      <c r="C124" s="5" t="s">
        <v>115</v>
      </c>
      <c r="D124" s="29">
        <f>'Profit and Loss (2)'!B56</f>
        <v>599</v>
      </c>
      <c r="E124" s="22">
        <v>0</v>
      </c>
      <c r="F124" s="30">
        <f t="shared" si="4"/>
        <v>599</v>
      </c>
    </row>
    <row r="125" spans="4:6" ht="12.75">
      <c r="D125" s="29"/>
      <c r="F125" s="30"/>
    </row>
    <row r="126" spans="4:6" ht="12.75">
      <c r="D126" s="29">
        <f>'Profit and Loss'!B99-'Dec 2016'!D116</f>
        <v>9540</v>
      </c>
      <c r="F126" s="30"/>
    </row>
    <row r="127" spans="4:6" ht="12.75">
      <c r="D127" s="29"/>
      <c r="F127" s="30"/>
    </row>
    <row r="128" spans="4:6" ht="12.75">
      <c r="D128" s="29"/>
      <c r="F128" s="30"/>
    </row>
    <row r="129" spans="4:6" ht="12.75">
      <c r="D129" s="29"/>
      <c r="F129" s="30"/>
    </row>
    <row r="130" spans="4:6" ht="12.75">
      <c r="D130" s="16"/>
      <c r="E130" s="17" t="str">
        <f>E76</f>
        <v>2016</v>
      </c>
      <c r="F130" s="17"/>
    </row>
    <row r="131" spans="4:6" ht="12.75">
      <c r="D131" s="19" t="str">
        <f>D8</f>
        <v>December</v>
      </c>
      <c r="E131" s="20" t="s">
        <v>4</v>
      </c>
      <c r="F131" s="20" t="s">
        <v>5</v>
      </c>
    </row>
    <row r="132" spans="1:6" ht="12.75">
      <c r="A132" s="5">
        <v>426</v>
      </c>
      <c r="B132" s="28" t="s">
        <v>116</v>
      </c>
      <c r="D132" s="29"/>
      <c r="F132" s="30"/>
    </row>
    <row r="133" spans="2:6" ht="12.75">
      <c r="B133" s="15">
        <v>424.26</v>
      </c>
      <c r="C133" s="5" t="s">
        <v>117</v>
      </c>
      <c r="D133" s="29">
        <f>'Profit and Loss (2)'!B102</f>
        <v>44702.81</v>
      </c>
      <c r="E133" s="22">
        <f>'2016 Budget Worksheet'!E169</f>
        <v>44797</v>
      </c>
      <c r="F133" s="22">
        <f>D133-E133</f>
        <v>-94.19000000000233</v>
      </c>
    </row>
    <row r="134" spans="2:6" ht="12.75">
      <c r="B134" s="15">
        <v>424.261</v>
      </c>
      <c r="C134" s="5" t="s">
        <v>118</v>
      </c>
      <c r="D134" s="29">
        <f>'Profit and Loss (2)'!B109</f>
        <v>123.94</v>
      </c>
      <c r="E134" s="22">
        <f>'2016 Budget Worksheet'!E170</f>
        <v>5000</v>
      </c>
      <c r="F134" s="22">
        <f>D134-E134</f>
        <v>-4876.06</v>
      </c>
    </row>
    <row r="135" spans="2:6" ht="12.75" hidden="1">
      <c r="B135" s="15">
        <v>424.262</v>
      </c>
      <c r="C135" s="5" t="s">
        <v>119</v>
      </c>
      <c r="D135" s="29"/>
      <c r="E135" s="22">
        <v>0</v>
      </c>
      <c r="F135" s="22">
        <f>D135-E135</f>
        <v>0</v>
      </c>
    </row>
    <row r="136" spans="2:6" ht="12.75">
      <c r="B136" s="15">
        <v>424.28000000000003</v>
      </c>
      <c r="C136" s="5" t="s">
        <v>120</v>
      </c>
      <c r="D136" s="29">
        <v>-82</v>
      </c>
      <c r="E136" s="22">
        <v>0</v>
      </c>
      <c r="F136" s="22">
        <f>D136-E136</f>
        <v>-82</v>
      </c>
    </row>
    <row r="137" spans="2:6" ht="12.75">
      <c r="B137" s="15">
        <v>424.27</v>
      </c>
      <c r="C137" s="5" t="s">
        <v>121</v>
      </c>
      <c r="D137" s="29"/>
      <c r="E137" s="22">
        <f>'2016 Budget Worksheet'!E171</f>
        <v>500</v>
      </c>
      <c r="F137" s="22">
        <f>D137-E137</f>
        <v>-500</v>
      </c>
    </row>
    <row r="138" spans="1:4" ht="15" customHeight="1" hidden="1">
      <c r="A138" s="5">
        <v>430</v>
      </c>
      <c r="B138" s="28" t="s">
        <v>122</v>
      </c>
      <c r="D138" s="29"/>
    </row>
    <row r="139" spans="2:6" ht="15" customHeight="1">
      <c r="B139" s="28"/>
      <c r="C139" s="5" t="s">
        <v>123</v>
      </c>
      <c r="D139" s="29"/>
      <c r="E139" s="22">
        <f>'2016 Budget Worksheet'!E172</f>
        <v>500</v>
      </c>
      <c r="F139" s="22">
        <f>D139-E139</f>
        <v>-500</v>
      </c>
    </row>
    <row r="140" spans="2:4" ht="15" customHeight="1">
      <c r="B140" s="28"/>
      <c r="D140" s="29"/>
    </row>
    <row r="141" spans="1:4" ht="15" customHeight="1">
      <c r="A141" s="5">
        <v>430</v>
      </c>
      <c r="B141" s="28" t="s">
        <v>122</v>
      </c>
      <c r="D141" s="29"/>
    </row>
    <row r="142" spans="2:6" ht="12.75">
      <c r="B142" s="15">
        <v>430</v>
      </c>
      <c r="C142" s="5" t="s">
        <v>124</v>
      </c>
      <c r="D142" s="29">
        <f>'Profit and Loss (2)'!B81+306.25</f>
        <v>11324.97</v>
      </c>
      <c r="E142" s="22">
        <v>15000</v>
      </c>
      <c r="F142" s="22">
        <f aca="true" t="shared" si="5" ref="F142:F151">D142-E142</f>
        <v>-3675.0300000000007</v>
      </c>
    </row>
    <row r="143" spans="2:6" ht="12.75" hidden="1">
      <c r="B143" s="15">
        <v>431.45</v>
      </c>
      <c r="C143" s="5" t="s">
        <v>125</v>
      </c>
      <c r="D143" s="29"/>
      <c r="E143" s="22">
        <v>0</v>
      </c>
      <c r="F143" s="22">
        <f t="shared" si="5"/>
        <v>0</v>
      </c>
    </row>
    <row r="144" spans="2:6" ht="12.75">
      <c r="B144" s="15">
        <v>430.11</v>
      </c>
      <c r="C144" s="5" t="s">
        <v>126</v>
      </c>
      <c r="D144" s="29">
        <f>'Profit and Loss (2)'!B84</f>
        <v>1518.7</v>
      </c>
      <c r="E144" s="22">
        <f>'2016 Budget Worksheet'!E178</f>
        <v>1000</v>
      </c>
      <c r="F144" s="22">
        <f t="shared" si="5"/>
        <v>518.7</v>
      </c>
    </row>
    <row r="145" spans="2:6" ht="12.75">
      <c r="B145" s="15">
        <v>430.51</v>
      </c>
      <c r="C145" s="5" t="s">
        <v>127</v>
      </c>
      <c r="D145" s="29">
        <f>'Profit and Loss (2)'!B85</f>
        <v>1457.11</v>
      </c>
      <c r="E145" s="22">
        <f>'2016 Budget Worksheet'!E179</f>
        <v>1000</v>
      </c>
      <c r="F145" s="22">
        <f t="shared" si="5"/>
        <v>457.1099999999999</v>
      </c>
    </row>
    <row r="146" spans="2:6" ht="12.75">
      <c r="B146" s="15">
        <v>430.11</v>
      </c>
      <c r="C146" s="5" t="s">
        <v>128</v>
      </c>
      <c r="D146" s="29">
        <f>'Profit and Loss (2)'!B83</f>
        <v>978.64</v>
      </c>
      <c r="E146" s="22">
        <f>'2016 Budget Worksheet'!E181</f>
        <v>3000</v>
      </c>
      <c r="F146" s="30">
        <f t="shared" si="5"/>
        <v>-2021.3600000000001</v>
      </c>
    </row>
    <row r="147" spans="2:6" ht="12.75" hidden="1">
      <c r="B147" s="15">
        <v>432.01</v>
      </c>
      <c r="C147" s="5" t="s">
        <v>129</v>
      </c>
      <c r="D147" s="29"/>
      <c r="E147" s="22">
        <v>0</v>
      </c>
      <c r="F147" s="22">
        <f t="shared" si="5"/>
        <v>0</v>
      </c>
    </row>
    <row r="148" spans="2:6" ht="12.75">
      <c r="B148" s="15">
        <v>430.1</v>
      </c>
      <c r="C148" s="5" t="s">
        <v>130</v>
      </c>
      <c r="D148" s="29">
        <f>'Profit and Loss'!B82+'Profit and Loss (2)'!B82+'Profit and Loss (2)'!B110</f>
        <v>1719.45</v>
      </c>
      <c r="E148" s="22">
        <f>'2016 Budget Worksheet'!E183</f>
        <v>2000</v>
      </c>
      <c r="F148" s="22">
        <f t="shared" si="5"/>
        <v>-280.54999999999995</v>
      </c>
    </row>
    <row r="149" spans="2:6" ht="12.75">
      <c r="B149" s="15">
        <v>430.6</v>
      </c>
      <c r="C149" s="5" t="s">
        <v>131</v>
      </c>
      <c r="D149" s="29">
        <f>'Profit and Loss (2)'!B86</f>
        <v>2724.24</v>
      </c>
      <c r="E149" s="22">
        <f>'2016 Budget Worksheet'!E184</f>
        <v>3000</v>
      </c>
      <c r="F149" s="22">
        <f t="shared" si="5"/>
        <v>-275.7600000000002</v>
      </c>
    </row>
    <row r="150" spans="2:6" ht="12.75" hidden="1">
      <c r="B150" s="15">
        <v>430.61</v>
      </c>
      <c r="C150" s="5" t="s">
        <v>132</v>
      </c>
      <c r="D150" s="29"/>
      <c r="E150" s="22">
        <v>0</v>
      </c>
      <c r="F150" s="22">
        <f t="shared" si="5"/>
        <v>0</v>
      </c>
    </row>
    <row r="151" spans="2:6" ht="12.75">
      <c r="B151" s="15">
        <v>490.2</v>
      </c>
      <c r="C151" s="5" t="s">
        <v>133</v>
      </c>
      <c r="D151" s="29"/>
      <c r="E151" s="22">
        <f>'2016 Budget Worksheet'!E186</f>
        <v>1000</v>
      </c>
      <c r="F151" s="22">
        <f t="shared" si="5"/>
        <v>-1000</v>
      </c>
    </row>
    <row r="152" spans="1:4" ht="12.75">
      <c r="A152" s="5">
        <v>434</v>
      </c>
      <c r="B152" s="28" t="s">
        <v>134</v>
      </c>
      <c r="D152" s="29"/>
    </row>
    <row r="153" spans="2:6" ht="12.75">
      <c r="B153" s="15">
        <v>434</v>
      </c>
      <c r="C153" s="5" t="s">
        <v>135</v>
      </c>
      <c r="D153" s="29">
        <f>'Profit and Loss (2)'!B87</f>
        <v>9848.77</v>
      </c>
      <c r="E153" s="22">
        <f>'2016 Budget Worksheet'!E188</f>
        <v>8964</v>
      </c>
      <c r="F153" s="22">
        <f>D153-E153</f>
        <v>884.7700000000004</v>
      </c>
    </row>
    <row r="154" spans="1:4" ht="12.75">
      <c r="A154" s="5">
        <v>442</v>
      </c>
      <c r="B154" s="28" t="s">
        <v>136</v>
      </c>
      <c r="D154" s="29"/>
    </row>
    <row r="155" spans="2:6" ht="12.75" hidden="1">
      <c r="B155" s="15">
        <v>411.05</v>
      </c>
      <c r="C155" s="5" t="s">
        <v>137</v>
      </c>
      <c r="D155" s="29"/>
      <c r="E155" s="22">
        <v>0</v>
      </c>
      <c r="F155" s="22">
        <f>D155-E155</f>
        <v>0</v>
      </c>
    </row>
    <row r="156" spans="2:6" ht="12.75">
      <c r="B156" s="15">
        <v>411.06</v>
      </c>
      <c r="C156" s="5" t="s">
        <v>138</v>
      </c>
      <c r="D156" s="29">
        <f>'Profit and Loss (2)'!B93</f>
        <v>46919.07</v>
      </c>
      <c r="E156" s="22">
        <f>'2016 Budget Worksheet'!E191</f>
        <v>55356</v>
      </c>
      <c r="F156" s="22">
        <f>D156-E156</f>
        <v>-8436.93</v>
      </c>
    </row>
    <row r="157" spans="2:6" ht="12.75">
      <c r="B157" s="15">
        <v>411.061</v>
      </c>
      <c r="C157" s="5" t="s">
        <v>139</v>
      </c>
      <c r="D157" s="29">
        <f>'Profit and Loss (2)'!B94</f>
        <v>7767.77</v>
      </c>
      <c r="E157" s="22">
        <v>0</v>
      </c>
      <c r="F157" s="22">
        <f>D157-E157</f>
        <v>7767.77</v>
      </c>
    </row>
    <row r="158" spans="1:4" ht="12.75">
      <c r="A158" s="5">
        <v>417</v>
      </c>
      <c r="B158" s="28" t="s">
        <v>140</v>
      </c>
      <c r="D158" s="29"/>
    </row>
    <row r="159" spans="2:6" ht="12.75">
      <c r="B159" s="15">
        <v>417.01</v>
      </c>
      <c r="C159" s="5" t="s">
        <v>141</v>
      </c>
      <c r="D159" s="29">
        <f>'Profit and Loss (2)'!B96</f>
        <v>2926</v>
      </c>
      <c r="E159" s="22">
        <f>'2016 Budget Worksheet'!E215</f>
        <v>3210</v>
      </c>
      <c r="F159" s="30">
        <f>D159-E159</f>
        <v>-284</v>
      </c>
    </row>
    <row r="160" spans="2:6" ht="12.75">
      <c r="B160" s="15">
        <v>417.03000000000003</v>
      </c>
      <c r="C160" s="5" t="s">
        <v>142</v>
      </c>
      <c r="D160" s="29">
        <f>'Profit and Loss (2)'!B97</f>
        <v>1923</v>
      </c>
      <c r="E160" s="22">
        <f>'2016 Budget Worksheet'!E214</f>
        <v>1950</v>
      </c>
      <c r="F160" s="22">
        <f>D160-E160</f>
        <v>-27</v>
      </c>
    </row>
    <row r="161" spans="2:6" ht="12.75">
      <c r="B161" s="15">
        <v>417.04</v>
      </c>
      <c r="C161" s="5" t="s">
        <v>143</v>
      </c>
      <c r="D161" s="29">
        <f>'Profit and Loss (2)'!B98</f>
        <v>3248</v>
      </c>
      <c r="E161" s="22">
        <f>'2016 Budget Worksheet'!E213</f>
        <v>3500</v>
      </c>
      <c r="F161" s="22">
        <f>D161-E161</f>
        <v>-252</v>
      </c>
    </row>
    <row r="162" spans="1:4" ht="9.75" customHeight="1">
      <c r="A162" s="5">
        <v>429</v>
      </c>
      <c r="B162" s="28" t="s">
        <v>144</v>
      </c>
      <c r="D162" s="29"/>
    </row>
    <row r="163" spans="2:6" ht="12.75">
      <c r="B163" s="15">
        <v>429</v>
      </c>
      <c r="C163" s="5" t="s">
        <v>145</v>
      </c>
      <c r="D163" s="29">
        <f>'Profit and Loss (2)'!B80</f>
        <v>1822.5</v>
      </c>
      <c r="E163" s="22">
        <f>'2016 Budget Worksheet'!E197</f>
        <v>2000</v>
      </c>
      <c r="F163" s="22">
        <f>D163-E163</f>
        <v>-177.5</v>
      </c>
    </row>
    <row r="164" spans="2:6" ht="12.75" hidden="1">
      <c r="B164" s="15">
        <v>429.1</v>
      </c>
      <c r="C164" s="5" t="s">
        <v>146</v>
      </c>
      <c r="D164" s="29"/>
      <c r="E164" s="22">
        <v>0</v>
      </c>
      <c r="F164" s="22">
        <f>D164-E164</f>
        <v>0</v>
      </c>
    </row>
    <row r="165" spans="1:4" ht="12.75">
      <c r="A165">
        <v>450</v>
      </c>
      <c r="B165" s="28" t="s">
        <v>147</v>
      </c>
      <c r="D165" s="29"/>
    </row>
    <row r="166" spans="1:6" ht="12.75">
      <c r="A166"/>
      <c r="B166" s="28"/>
      <c r="C166" s="5" t="s">
        <v>148</v>
      </c>
      <c r="D166" s="29"/>
      <c r="E166" s="22">
        <f>'2016 Budget Worksheet'!E195</f>
        <v>500</v>
      </c>
      <c r="F166" s="22">
        <f>D166-E166</f>
        <v>-500</v>
      </c>
    </row>
    <row r="167" spans="1:6" ht="12.75">
      <c r="A167"/>
      <c r="B167" s="28"/>
      <c r="C167" s="5" t="s">
        <v>149</v>
      </c>
      <c r="D167" s="29"/>
      <c r="E167" s="22">
        <f>'2016 Budget Worksheet'!E196</f>
        <v>100</v>
      </c>
      <c r="F167" s="22">
        <f>D167-E167</f>
        <v>-100</v>
      </c>
    </row>
    <row r="168" spans="1:4" ht="12.75">
      <c r="A168">
        <v>453</v>
      </c>
      <c r="B168" s="28" t="s">
        <v>150</v>
      </c>
      <c r="D168" s="29"/>
    </row>
    <row r="169" spans="2:6" ht="12.75">
      <c r="B169" s="15">
        <v>450.01</v>
      </c>
      <c r="C169" s="5" t="s">
        <v>151</v>
      </c>
      <c r="D169" s="29">
        <v>70</v>
      </c>
      <c r="E169" s="22">
        <v>100</v>
      </c>
      <c r="F169" s="22">
        <f>D169-E169</f>
        <v>-30</v>
      </c>
    </row>
    <row r="170" spans="2:6" ht="12.75">
      <c r="B170" s="15">
        <v>450.02</v>
      </c>
      <c r="C170" s="5" t="s">
        <v>152</v>
      </c>
      <c r="D170" s="29">
        <v>100</v>
      </c>
      <c r="E170" s="22">
        <v>100</v>
      </c>
      <c r="F170" s="22">
        <f>D170-E170</f>
        <v>0</v>
      </c>
    </row>
    <row r="171" spans="2:6" ht="12.75">
      <c r="B171" s="15">
        <v>450.03000000000003</v>
      </c>
      <c r="C171" s="5" t="s">
        <v>153</v>
      </c>
      <c r="D171" s="29">
        <v>100</v>
      </c>
      <c r="E171" s="22">
        <v>100</v>
      </c>
      <c r="F171" s="22">
        <f>D171-E171</f>
        <v>0</v>
      </c>
    </row>
    <row r="172" spans="2:6" ht="12.75">
      <c r="B172" s="15">
        <v>450.04</v>
      </c>
      <c r="C172" s="5" t="s">
        <v>154</v>
      </c>
      <c r="D172" s="29">
        <v>0</v>
      </c>
      <c r="E172" s="22">
        <v>100</v>
      </c>
      <c r="F172" s="22">
        <f>D172-E172</f>
        <v>-100</v>
      </c>
    </row>
    <row r="173" spans="2:6" ht="12.75">
      <c r="B173" s="15">
        <v>450.05</v>
      </c>
      <c r="C173" s="5" t="s">
        <v>155</v>
      </c>
      <c r="D173" s="29">
        <v>53</v>
      </c>
      <c r="E173" s="22">
        <v>65</v>
      </c>
      <c r="F173" s="22">
        <f>D173-E173</f>
        <v>-12</v>
      </c>
    </row>
    <row r="174" spans="1:2" ht="12.75">
      <c r="A174" s="5">
        <v>455</v>
      </c>
      <c r="B174" s="28" t="s">
        <v>156</v>
      </c>
    </row>
    <row r="175" spans="2:6" ht="12.75">
      <c r="B175" s="15">
        <v>455</v>
      </c>
      <c r="C175" s="5" t="s">
        <v>157</v>
      </c>
      <c r="D175" s="29">
        <f>'Profit and Loss (2)'!B104</f>
        <v>15588.09</v>
      </c>
      <c r="E175" s="22">
        <f>'2016 Budget Worksheet'!E220</f>
        <v>21489</v>
      </c>
      <c r="F175" s="22">
        <f>D175-E175</f>
        <v>-5900.91</v>
      </c>
    </row>
    <row r="176" spans="1:4" ht="12.75">
      <c r="A176" s="5">
        <v>465</v>
      </c>
      <c r="B176" s="28" t="s">
        <v>52</v>
      </c>
      <c r="D176" s="29"/>
    </row>
    <row r="177" spans="2:8" ht="12.75">
      <c r="B177" s="15">
        <v>465</v>
      </c>
      <c r="C177" s="5" t="s">
        <v>158</v>
      </c>
      <c r="D177" s="29">
        <f>'Profit and Loss (2)'!B92+'Profit and Loss (2)'!B114-743</f>
        <v>775.8200000000002</v>
      </c>
      <c r="E177" s="22">
        <v>100</v>
      </c>
      <c r="F177" s="22">
        <f>D177-E177</f>
        <v>675.8200000000002</v>
      </c>
      <c r="H177" s="22"/>
    </row>
    <row r="178" spans="2:6" ht="12.75">
      <c r="B178" s="15">
        <v>465.001</v>
      </c>
      <c r="C178" s="5" t="s">
        <v>159</v>
      </c>
      <c r="D178" s="29">
        <f>'Profit and Loss'!B67</f>
        <v>295.41</v>
      </c>
      <c r="E178" s="22">
        <v>500</v>
      </c>
      <c r="F178" s="22">
        <f>D178-E178</f>
        <v>-204.58999999999997</v>
      </c>
    </row>
    <row r="179" spans="1:4" ht="12.75">
      <c r="A179" s="31" t="s">
        <v>160</v>
      </c>
      <c r="B179" s="28" t="s">
        <v>161</v>
      </c>
      <c r="D179" s="29"/>
    </row>
    <row r="180" spans="2:6" ht="12.75">
      <c r="B180" s="15">
        <v>470.01</v>
      </c>
      <c r="C180" s="5" t="s">
        <v>162</v>
      </c>
      <c r="D180" s="29">
        <f>'Profit and Loss (2)'!B95+'Profit and Loss (2)'!B106</f>
        <v>1971.95</v>
      </c>
      <c r="E180" s="22">
        <f>'2016 Budget Worksheet'!E208</f>
        <v>2417.4</v>
      </c>
      <c r="F180" s="22">
        <f>D180-E180</f>
        <v>-445.45000000000005</v>
      </c>
    </row>
    <row r="181" spans="2:5" ht="12.75">
      <c r="B181" s="15">
        <v>470.02</v>
      </c>
      <c r="C181" s="5" t="s">
        <v>163</v>
      </c>
      <c r="D181" s="29"/>
      <c r="E181" s="22">
        <f>'2016 Budget Worksheet'!E209</f>
        <v>48</v>
      </c>
    </row>
    <row r="182" spans="1:6" ht="12.75">
      <c r="A182" s="5">
        <v>492</v>
      </c>
      <c r="B182" s="192" t="s">
        <v>164</v>
      </c>
      <c r="D182" s="29">
        <v>5258.2</v>
      </c>
      <c r="E182" s="22">
        <f>'2016 Budget Worksheet'!E225</f>
        <v>8760</v>
      </c>
      <c r="F182" s="22">
        <f>D182-E182</f>
        <v>-3501.8</v>
      </c>
    </row>
    <row r="183" spans="2:6" ht="12.75">
      <c r="B183" s="5"/>
      <c r="D183" s="34"/>
      <c r="E183" s="25">
        <v>0</v>
      </c>
      <c r="F183" s="25">
        <f>D183-E183</f>
        <v>0</v>
      </c>
    </row>
    <row r="185" spans="3:9" ht="12.75">
      <c r="C185" s="5" t="s">
        <v>165</v>
      </c>
      <c r="D185" s="110">
        <f>SUM(D133:D183)+SUM(D66:D124)</f>
        <v>223845.16</v>
      </c>
      <c r="E185" s="110">
        <f>SUM(E133:E183)+SUM(E66:E123)</f>
        <v>253232.68</v>
      </c>
      <c r="F185" s="110">
        <f>SUM(F64:F183)</f>
        <v>-28576.520000000004</v>
      </c>
      <c r="H185" s="22"/>
      <c r="I185" s="22"/>
    </row>
    <row r="186" ht="12.75">
      <c r="D186" s="29"/>
    </row>
    <row r="187" spans="3:9" ht="12.75">
      <c r="C187" s="5" t="s">
        <v>166</v>
      </c>
      <c r="D187" s="111">
        <f>-D57+D185</f>
        <v>-35590.53999999998</v>
      </c>
      <c r="E187" s="111">
        <f>-E57+E185</f>
        <v>-0.11999999999534339</v>
      </c>
      <c r="F187" s="111">
        <f>+F57-F185</f>
        <v>34779.42</v>
      </c>
      <c r="H187" s="22"/>
      <c r="I187" s="22"/>
    </row>
    <row r="188" ht="13.5" customHeight="1" thickTop="1"/>
    <row r="189" spans="3:4" ht="13.5" thickBot="1">
      <c r="C189" s="5" t="s">
        <v>167</v>
      </c>
      <c r="D189" s="35"/>
    </row>
    <row r="190" spans="3:4" ht="12.75">
      <c r="C190" s="5" t="s">
        <v>168</v>
      </c>
      <c r="D190" s="35"/>
    </row>
    <row r="191" spans="3:4" ht="12.75">
      <c r="C191" s="5" t="s">
        <v>169</v>
      </c>
      <c r="D191" s="35"/>
    </row>
    <row r="192" spans="1:11" ht="12.75">
      <c r="A192"/>
      <c r="B192" s="36"/>
      <c r="C192" s="37"/>
      <c r="D192" s="38"/>
      <c r="E192" s="39"/>
      <c r="F192" s="38"/>
      <c r="G192" s="37"/>
      <c r="H192" s="40"/>
      <c r="I192" s="39"/>
      <c r="J192" s="38"/>
      <c r="K192" s="41"/>
    </row>
    <row r="193" spans="1:11" ht="12.75">
      <c r="A193"/>
      <c r="B193" s="42"/>
      <c r="C193" s="37"/>
      <c r="D193" s="38"/>
      <c r="E193" s="39"/>
      <c r="F193" s="38"/>
      <c r="G193" s="37"/>
      <c r="H193" s="40"/>
      <c r="I193" s="39"/>
      <c r="J193" s="38"/>
      <c r="K193" s="43"/>
    </row>
    <row r="194" spans="1:11" ht="12.75">
      <c r="A194"/>
      <c r="B194" s="42"/>
      <c r="C194" s="37"/>
      <c r="D194" s="38"/>
      <c r="E194" s="39"/>
      <c r="F194" s="38"/>
      <c r="G194" s="37"/>
      <c r="H194" s="40"/>
      <c r="I194" s="39"/>
      <c r="J194" s="38"/>
      <c r="K194" s="43"/>
    </row>
    <row r="195" spans="1:11" ht="12.75">
      <c r="A195"/>
      <c r="B195" s="5"/>
      <c r="C195" s="37"/>
      <c r="D195" s="38"/>
      <c r="E195" s="39"/>
      <c r="F195" s="38"/>
      <c r="G195" s="37"/>
      <c r="H195" s="40"/>
      <c r="I195" s="39"/>
      <c r="J195" s="38"/>
      <c r="K195" s="43"/>
    </row>
    <row r="196" spans="1:11" ht="12.75">
      <c r="A196"/>
      <c r="B196" s="5"/>
      <c r="C196" s="37"/>
      <c r="D196" s="38"/>
      <c r="E196" s="44"/>
      <c r="F196" s="38"/>
      <c r="G196" s="37"/>
      <c r="H196" s="40"/>
      <c r="I196" s="39"/>
      <c r="J196" s="38"/>
      <c r="K196" s="43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&amp;LTreasurer's Report -Feb 2014</oddFooter>
  </headerFooter>
  <rowBreaks count="2" manualBreakCount="2">
    <brk id="56" max="255" man="1"/>
    <brk id="1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00">
      <selection activeCell="B108" sqref="B108"/>
    </sheetView>
  </sheetViews>
  <sheetFormatPr defaultColWidth="9.140625" defaultRowHeight="12.75"/>
  <cols>
    <col min="1" max="1" width="50.7109375" style="195" customWidth="1"/>
    <col min="2" max="2" width="16.28125" style="195" customWidth="1"/>
    <col min="3" max="16384" width="9.140625" style="195" customWidth="1"/>
  </cols>
  <sheetData>
    <row r="1" spans="1:2" ht="17.25">
      <c r="A1" s="224" t="s">
        <v>170</v>
      </c>
      <c r="B1" s="223"/>
    </row>
    <row r="2" spans="1:2" ht="17.25">
      <c r="A2" s="224" t="s">
        <v>172</v>
      </c>
      <c r="B2" s="223"/>
    </row>
    <row r="3" spans="1:2" ht="14.25">
      <c r="A3" s="225" t="s">
        <v>508</v>
      </c>
      <c r="B3" s="223"/>
    </row>
    <row r="5" spans="1:2" ht="14.25">
      <c r="A5" s="196"/>
      <c r="B5" s="197" t="s">
        <v>173</v>
      </c>
    </row>
    <row r="6" spans="1:2" ht="14.25">
      <c r="A6" s="198" t="s">
        <v>174</v>
      </c>
      <c r="B6" s="199"/>
    </row>
    <row r="7" spans="1:2" ht="14.25" hidden="1">
      <c r="A7" s="198" t="s">
        <v>403</v>
      </c>
      <c r="B7" s="200">
        <f>99715.67</f>
        <v>99715.67</v>
      </c>
    </row>
    <row r="8" spans="1:2" ht="14.25" hidden="1">
      <c r="A8" s="198" t="s">
        <v>404</v>
      </c>
      <c r="B8" s="200">
        <f>1694.87</f>
        <v>1694.87</v>
      </c>
    </row>
    <row r="9" spans="1:2" ht="14.25" hidden="1">
      <c r="A9" s="198" t="s">
        <v>405</v>
      </c>
      <c r="B9" s="200">
        <f>10087.35</f>
        <v>10087.35</v>
      </c>
    </row>
    <row r="10" spans="1:2" ht="14.25" hidden="1">
      <c r="A10" s="198" t="s">
        <v>406</v>
      </c>
      <c r="B10" s="200">
        <f>560</f>
        <v>560</v>
      </c>
    </row>
    <row r="11" spans="1:2" ht="14.25" hidden="1">
      <c r="A11" s="198" t="s">
        <v>407</v>
      </c>
      <c r="B11" s="200">
        <f>20</f>
        <v>20</v>
      </c>
    </row>
    <row r="12" spans="1:2" ht="14.25" hidden="1">
      <c r="A12" s="198" t="s">
        <v>408</v>
      </c>
      <c r="B12" s="200">
        <f>895</f>
        <v>895</v>
      </c>
    </row>
    <row r="13" spans="1:2" ht="14.25" hidden="1">
      <c r="A13" s="198" t="s">
        <v>409</v>
      </c>
      <c r="B13" s="200">
        <f>35</f>
        <v>35</v>
      </c>
    </row>
    <row r="14" spans="1:2" ht="14.25" hidden="1">
      <c r="A14" s="198" t="s">
        <v>410</v>
      </c>
      <c r="B14" s="200">
        <f>12147.05</f>
        <v>12147.05</v>
      </c>
    </row>
    <row r="15" spans="1:2" ht="14.25" hidden="1">
      <c r="A15" s="198" t="s">
        <v>411</v>
      </c>
      <c r="B15" s="200">
        <f>37786.9</f>
        <v>37786.9</v>
      </c>
    </row>
    <row r="16" spans="1:2" ht="14.25" hidden="1">
      <c r="A16" s="198" t="s">
        <v>412</v>
      </c>
      <c r="B16" s="200">
        <f>1476.24</f>
        <v>1476.24</v>
      </c>
    </row>
    <row r="17" spans="1:2" ht="14.25" hidden="1">
      <c r="A17" s="198" t="s">
        <v>413</v>
      </c>
      <c r="B17" s="200">
        <f>333.54</f>
        <v>333.54</v>
      </c>
    </row>
    <row r="18" spans="1:2" ht="14.25" hidden="1">
      <c r="A18" s="198" t="s">
        <v>414</v>
      </c>
      <c r="B18" s="200">
        <f>25.42</f>
        <v>25.42</v>
      </c>
    </row>
    <row r="19" spans="1:2" ht="14.25" hidden="1">
      <c r="A19" s="198" t="s">
        <v>415</v>
      </c>
      <c r="B19" s="200">
        <f>4</f>
        <v>4</v>
      </c>
    </row>
    <row r="20" spans="1:2" ht="14.25" hidden="1">
      <c r="A20" s="198" t="s">
        <v>416</v>
      </c>
      <c r="B20" s="200">
        <f>5</f>
        <v>5</v>
      </c>
    </row>
    <row r="21" spans="1:2" ht="14.25" hidden="1">
      <c r="A21" s="198" t="s">
        <v>417</v>
      </c>
      <c r="B21" s="200">
        <f>5</f>
        <v>5</v>
      </c>
    </row>
    <row r="22" spans="1:2" ht="14.25" hidden="1">
      <c r="A22" s="198" t="s">
        <v>509</v>
      </c>
      <c r="B22" s="200">
        <f>100</f>
        <v>100</v>
      </c>
    </row>
    <row r="23" spans="1:2" ht="14.25" hidden="1">
      <c r="A23" s="198" t="s">
        <v>418</v>
      </c>
      <c r="B23" s="200">
        <f>144.57</f>
        <v>144.57</v>
      </c>
    </row>
    <row r="24" spans="1:2" ht="14.25" hidden="1">
      <c r="A24" s="198" t="s">
        <v>419</v>
      </c>
      <c r="B24" s="200">
        <f>186.22</f>
        <v>186.22</v>
      </c>
    </row>
    <row r="25" spans="1:2" ht="14.25" hidden="1">
      <c r="A25" s="198" t="s">
        <v>420</v>
      </c>
      <c r="B25" s="200">
        <f>78.4</f>
        <v>78.4</v>
      </c>
    </row>
    <row r="26" spans="1:2" ht="11.25" customHeight="1" hidden="1">
      <c r="A26" s="198" t="s">
        <v>421</v>
      </c>
      <c r="B26" s="201">
        <f>(B24)+(B25)</f>
        <v>264.62</v>
      </c>
    </row>
    <row r="27" spans="1:2" ht="14.25" hidden="1">
      <c r="A27" s="198" t="s">
        <v>510</v>
      </c>
      <c r="B27" s="200">
        <f>12</f>
        <v>12</v>
      </c>
    </row>
    <row r="28" spans="1:2" ht="14.25" hidden="1">
      <c r="A28" s="198" t="s">
        <v>511</v>
      </c>
      <c r="B28" s="200">
        <f>201.36</f>
        <v>201.36</v>
      </c>
    </row>
    <row r="29" spans="1:2" ht="14.25" hidden="1">
      <c r="A29" s="198" t="s">
        <v>422</v>
      </c>
      <c r="B29" s="200">
        <f>300</f>
        <v>300</v>
      </c>
    </row>
    <row r="30" spans="1:2" ht="14.25" hidden="1">
      <c r="A30" s="198" t="s">
        <v>423</v>
      </c>
      <c r="B30" s="200">
        <f>2734.8</f>
        <v>2734.8</v>
      </c>
    </row>
    <row r="31" spans="1:2" ht="14.25" hidden="1">
      <c r="A31" s="198" t="s">
        <v>424</v>
      </c>
      <c r="B31" s="200">
        <f>1126</f>
        <v>1126</v>
      </c>
    </row>
    <row r="32" spans="1:2" ht="14.25" hidden="1">
      <c r="A32" s="198" t="s">
        <v>425</v>
      </c>
      <c r="B32" s="200">
        <f>900</f>
        <v>900</v>
      </c>
    </row>
    <row r="33" spans="1:2" ht="14.25" hidden="1">
      <c r="A33" s="198" t="s">
        <v>426</v>
      </c>
      <c r="B33" s="200">
        <f>2200</f>
        <v>2200</v>
      </c>
    </row>
    <row r="34" spans="1:2" ht="14.25" hidden="1">
      <c r="A34" s="198" t="s">
        <v>427</v>
      </c>
      <c r="B34" s="200">
        <f>9352.1</f>
        <v>9352.1</v>
      </c>
    </row>
    <row r="35" spans="1:2" ht="14.25" hidden="1">
      <c r="A35" s="198" t="s">
        <v>428</v>
      </c>
      <c r="B35" s="200">
        <f>400.2</f>
        <v>400.2</v>
      </c>
    </row>
    <row r="36" spans="1:2" ht="14.25" hidden="1">
      <c r="A36" s="198" t="s">
        <v>429</v>
      </c>
      <c r="B36" s="200">
        <f>36842.03</f>
        <v>36842.03</v>
      </c>
    </row>
    <row r="37" spans="1:2" ht="14.25" hidden="1">
      <c r="A37" s="198" t="s">
        <v>430</v>
      </c>
      <c r="B37" s="200">
        <f>4010.32</f>
        <v>4010.32</v>
      </c>
    </row>
    <row r="38" spans="1:2" ht="14.25" hidden="1">
      <c r="A38" s="198" t="s">
        <v>431</v>
      </c>
      <c r="B38" s="200">
        <f>-1430.36</f>
        <v>-1430.36</v>
      </c>
    </row>
    <row r="39" spans="1:2" ht="14.25" hidden="1">
      <c r="A39" s="198" t="s">
        <v>432</v>
      </c>
      <c r="B39" s="200">
        <f>-124.37</f>
        <v>-124.37</v>
      </c>
    </row>
    <row r="40" spans="1:2" ht="14.25" hidden="1">
      <c r="A40" s="198" t="s">
        <v>433</v>
      </c>
      <c r="B40" s="200">
        <f>1.3</f>
        <v>1.3</v>
      </c>
    </row>
    <row r="41" spans="1:2" ht="14.25" hidden="1">
      <c r="A41" s="198" t="s">
        <v>434</v>
      </c>
      <c r="B41" s="200">
        <f>-15.6</f>
        <v>-15.6</v>
      </c>
    </row>
    <row r="42" spans="1:2" ht="14.25" hidden="1">
      <c r="A42" s="198" t="s">
        <v>435</v>
      </c>
      <c r="B42" s="200">
        <f>22054.15</f>
        <v>22054.15</v>
      </c>
    </row>
    <row r="43" spans="1:2" ht="14.25" hidden="1">
      <c r="A43" s="198" t="s">
        <v>436</v>
      </c>
      <c r="B43" s="200">
        <f>291.5</f>
        <v>291.5</v>
      </c>
    </row>
    <row r="44" spans="1:2" ht="14.25" hidden="1">
      <c r="A44" s="198" t="s">
        <v>437</v>
      </c>
      <c r="B44" s="200">
        <f>6090.36</f>
        <v>6090.36</v>
      </c>
    </row>
    <row r="45" spans="1:2" ht="14.25" hidden="1">
      <c r="A45" s="198" t="s">
        <v>438</v>
      </c>
      <c r="B45" s="200">
        <f>295.8</f>
        <v>295.8</v>
      </c>
    </row>
    <row r="46" spans="1:2" ht="14.25" hidden="1">
      <c r="A46" s="198" t="s">
        <v>439</v>
      </c>
      <c r="B46" s="200">
        <f>920.56</f>
        <v>920.56</v>
      </c>
    </row>
    <row r="47" spans="1:2" ht="14.25" hidden="1">
      <c r="A47" s="198" t="s">
        <v>440</v>
      </c>
      <c r="B47" s="200">
        <f>0.09</f>
        <v>0.09</v>
      </c>
    </row>
    <row r="48" spans="1:2" ht="14.25" customHeight="1" hidden="1">
      <c r="A48" s="198" t="s">
        <v>181</v>
      </c>
      <c r="B48" s="201">
        <f>((((((((((((((((((((((((((((((((((((((B7)+(B8))+(B9))+(B10))+(B11))+(B12))+(B13))+(B14))+(B15))+(B16))+(B17))+(B18))+(B19))+(B20))+(B21))+(B22))+(B23))+(B26))+(B27))+(B28))+(B29))+(B30))+(B31))+(B32))+(B33))+(B34))+(B35))+(B36))+(B37))+(B38))+(B39))+(B40))+(B41))+(B42))+(B43))+(B44))+(B45))+(B46))+(B47)</f>
        <v>251462.46999999997</v>
      </c>
    </row>
    <row r="49" spans="1:2" ht="14.25" hidden="1">
      <c r="A49" s="198" t="s">
        <v>441</v>
      </c>
      <c r="B49" s="201">
        <f>(B48)-(0)</f>
        <v>251462.46999999997</v>
      </c>
    </row>
    <row r="50" spans="1:2" ht="14.25">
      <c r="A50" s="198" t="s">
        <v>182</v>
      </c>
      <c r="B50" s="199"/>
    </row>
    <row r="51" spans="1:2" ht="14.25" hidden="1">
      <c r="A51" s="198" t="s">
        <v>442</v>
      </c>
      <c r="B51" s="200">
        <f>4100</f>
        <v>4100</v>
      </c>
    </row>
    <row r="52" spans="1:2" ht="14.25" hidden="1">
      <c r="A52" s="198" t="s">
        <v>443</v>
      </c>
      <c r="B52" s="200">
        <f>49</f>
        <v>49</v>
      </c>
    </row>
    <row r="53" spans="1:2" ht="14.25" hidden="1">
      <c r="A53" s="198" t="s">
        <v>444</v>
      </c>
      <c r="B53" s="200">
        <f>459</f>
        <v>459</v>
      </c>
    </row>
    <row r="54" spans="1:2" ht="14.25" hidden="1">
      <c r="A54" s="198" t="s">
        <v>445</v>
      </c>
      <c r="B54" s="200">
        <f>851</f>
        <v>851</v>
      </c>
    </row>
    <row r="55" spans="1:2" ht="14.25" hidden="1">
      <c r="A55" s="198" t="s">
        <v>446</v>
      </c>
      <c r="B55" s="200">
        <f>803.25</f>
        <v>803.25</v>
      </c>
    </row>
    <row r="56" spans="1:2" ht="14.25" hidden="1">
      <c r="A56" s="198" t="s">
        <v>447</v>
      </c>
      <c r="B56" s="200">
        <f>599</f>
        <v>599</v>
      </c>
    </row>
    <row r="57" spans="1:2" ht="14.25" hidden="1">
      <c r="A57" s="198" t="s">
        <v>448</v>
      </c>
      <c r="B57" s="200">
        <f>1100</f>
        <v>1100</v>
      </c>
    </row>
    <row r="58" spans="1:2" ht="14.25" hidden="1">
      <c r="A58" s="198" t="s">
        <v>449</v>
      </c>
      <c r="B58" s="200">
        <f>2700</f>
        <v>2700</v>
      </c>
    </row>
    <row r="59" spans="1:2" ht="14.25" hidden="1">
      <c r="A59" s="198" t="s">
        <v>450</v>
      </c>
      <c r="B59" s="200">
        <f>2750</f>
        <v>2750</v>
      </c>
    </row>
    <row r="60" spans="1:2" ht="14.25" hidden="1">
      <c r="A60" s="198" t="s">
        <v>451</v>
      </c>
      <c r="B60" s="200">
        <f>246.56</f>
        <v>246.56</v>
      </c>
    </row>
    <row r="61" spans="1:2" ht="14.25" hidden="1">
      <c r="A61" s="198" t="s">
        <v>452</v>
      </c>
      <c r="B61" s="200">
        <f>6.45</f>
        <v>6.45</v>
      </c>
    </row>
    <row r="62" spans="1:2" ht="14.25" hidden="1">
      <c r="A62" s="198" t="s">
        <v>453</v>
      </c>
      <c r="B62" s="200">
        <f>5538.18</f>
        <v>5538.18</v>
      </c>
    </row>
    <row r="63" spans="1:2" ht="14.25" hidden="1">
      <c r="A63" s="198" t="s">
        <v>454</v>
      </c>
      <c r="B63" s="200">
        <f>6512</f>
        <v>6512</v>
      </c>
    </row>
    <row r="64" spans="1:2" ht="14.25" hidden="1">
      <c r="A64" s="198" t="s">
        <v>455</v>
      </c>
      <c r="B64" s="200">
        <f>415.48</f>
        <v>415.48</v>
      </c>
    </row>
    <row r="65" spans="1:2" ht="14.25" hidden="1">
      <c r="A65" s="198" t="s">
        <v>456</v>
      </c>
      <c r="B65" s="200">
        <f>898.02</f>
        <v>898.02</v>
      </c>
    </row>
    <row r="66" spans="1:2" ht="14.25" hidden="1">
      <c r="A66" s="198" t="s">
        <v>457</v>
      </c>
      <c r="B66" s="200">
        <f>77.68</f>
        <v>77.68</v>
      </c>
    </row>
    <row r="67" spans="1:2" ht="14.25" hidden="1">
      <c r="A67" s="198" t="s">
        <v>458</v>
      </c>
      <c r="B67" s="200">
        <f>295.41</f>
        <v>295.41</v>
      </c>
    </row>
    <row r="68" spans="1:2" ht="14.25" hidden="1">
      <c r="A68" s="198" t="s">
        <v>459</v>
      </c>
      <c r="B68" s="200">
        <f>1413.26</f>
        <v>1413.26</v>
      </c>
    </row>
    <row r="69" spans="1:2" ht="14.25" hidden="1">
      <c r="A69" s="198" t="s">
        <v>512</v>
      </c>
      <c r="B69" s="200">
        <f>435</f>
        <v>435</v>
      </c>
    </row>
    <row r="70" spans="1:2" ht="14.25">
      <c r="A70" s="198" t="s">
        <v>460</v>
      </c>
      <c r="B70" s="200">
        <f>1124</f>
        <v>1124</v>
      </c>
    </row>
    <row r="71" spans="1:2" ht="14.25">
      <c r="A71" s="198" t="s">
        <v>461</v>
      </c>
      <c r="B71" s="200">
        <f>5864</f>
        <v>5864</v>
      </c>
    </row>
    <row r="72" spans="1:2" ht="14.25">
      <c r="A72" s="198" t="s">
        <v>462</v>
      </c>
      <c r="B72" s="200">
        <f>331</f>
        <v>331</v>
      </c>
    </row>
    <row r="73" spans="1:2" ht="14.25">
      <c r="A73" s="198" t="s">
        <v>463</v>
      </c>
      <c r="B73" s="200">
        <f>685.47</f>
        <v>685.47</v>
      </c>
    </row>
    <row r="74" spans="1:2" ht="14.25">
      <c r="A74" s="198" t="s">
        <v>464</v>
      </c>
      <c r="B74" s="200">
        <f>558.38</f>
        <v>558.38</v>
      </c>
    </row>
    <row r="75" spans="1:2" ht="14.25">
      <c r="A75" s="198" t="s">
        <v>465</v>
      </c>
      <c r="B75" s="200">
        <f>612.68</f>
        <v>612.68</v>
      </c>
    </row>
    <row r="76" spans="1:2" ht="14.25">
      <c r="A76" s="198" t="s">
        <v>466</v>
      </c>
      <c r="B76" s="200">
        <f>738.33</f>
        <v>738.33</v>
      </c>
    </row>
    <row r="77" spans="1:2" ht="14.25">
      <c r="A77" s="198" t="s">
        <v>467</v>
      </c>
      <c r="B77" s="200">
        <f>1508.74</f>
        <v>1508.74</v>
      </c>
    </row>
    <row r="78" spans="1:2" ht="14.25">
      <c r="A78" s="198" t="s">
        <v>503</v>
      </c>
      <c r="B78" s="200">
        <f>2734.8</f>
        <v>2734.8</v>
      </c>
    </row>
    <row r="79" spans="1:2" ht="14.25">
      <c r="A79" s="198" t="s">
        <v>468</v>
      </c>
      <c r="B79" s="200">
        <f>218.75</f>
        <v>218.75</v>
      </c>
    </row>
    <row r="80" spans="1:2" ht="14.25">
      <c r="A80" s="198" t="s">
        <v>469</v>
      </c>
      <c r="B80" s="200">
        <f>1717.5</f>
        <v>1717.5</v>
      </c>
    </row>
    <row r="81" spans="1:2" ht="14.25">
      <c r="A81" s="198" t="s">
        <v>470</v>
      </c>
      <c r="B81" s="200">
        <f>10531.22</f>
        <v>10531.22</v>
      </c>
    </row>
    <row r="82" spans="1:2" ht="14.25">
      <c r="A82" s="198" t="s">
        <v>471</v>
      </c>
      <c r="B82" s="200">
        <f>771.39</f>
        <v>771.39</v>
      </c>
    </row>
    <row r="83" spans="1:2" ht="14.25">
      <c r="A83" s="198" t="s">
        <v>472</v>
      </c>
      <c r="B83" s="200">
        <f>978.64</f>
        <v>978.64</v>
      </c>
    </row>
    <row r="84" spans="1:2" ht="14.25">
      <c r="A84" s="198" t="s">
        <v>473</v>
      </c>
      <c r="B84" s="200">
        <f>1518.7</f>
        <v>1518.7</v>
      </c>
    </row>
    <row r="85" spans="1:2" ht="14.25">
      <c r="A85" s="198" t="s">
        <v>504</v>
      </c>
      <c r="B85" s="200">
        <f>1609.59</f>
        <v>1609.59</v>
      </c>
    </row>
    <row r="86" spans="1:2" ht="14.25">
      <c r="A86" s="198" t="s">
        <v>474</v>
      </c>
      <c r="B86" s="200">
        <f>2010.5</f>
        <v>2010.5</v>
      </c>
    </row>
    <row r="87" spans="1:2" ht="14.25">
      <c r="A87" s="198" t="s">
        <v>475</v>
      </c>
      <c r="B87" s="200">
        <f>8985.37</f>
        <v>8985.37</v>
      </c>
    </row>
    <row r="88" spans="1:2" ht="14.25">
      <c r="A88" s="198" t="s">
        <v>513</v>
      </c>
      <c r="B88" s="200">
        <f>70</f>
        <v>70</v>
      </c>
    </row>
    <row r="89" spans="1:2" ht="14.25">
      <c r="A89" s="198" t="s">
        <v>476</v>
      </c>
      <c r="B89" s="200">
        <f>100</f>
        <v>100</v>
      </c>
    </row>
    <row r="90" spans="1:2" ht="14.25">
      <c r="A90" s="198" t="s">
        <v>477</v>
      </c>
      <c r="B90" s="200">
        <f>100</f>
        <v>100</v>
      </c>
    </row>
    <row r="91" spans="1:2" ht="14.25">
      <c r="A91" s="198" t="s">
        <v>478</v>
      </c>
      <c r="B91" s="200">
        <f>52.5</f>
        <v>52.5</v>
      </c>
    </row>
    <row r="92" spans="1:2" ht="14.25">
      <c r="A92" s="198" t="s">
        <v>479</v>
      </c>
      <c r="B92" s="200">
        <f>1220.22</f>
        <v>1220.22</v>
      </c>
    </row>
    <row r="93" spans="1:2" ht="14.25">
      <c r="A93" s="198" t="s">
        <v>480</v>
      </c>
      <c r="B93" s="200">
        <f>46919.07</f>
        <v>46919.07</v>
      </c>
    </row>
    <row r="94" spans="1:2" ht="14.25">
      <c r="A94" s="198" t="s">
        <v>481</v>
      </c>
      <c r="B94" s="200">
        <f>7767.77</f>
        <v>7767.77</v>
      </c>
    </row>
    <row r="95" spans="1:2" ht="14.25">
      <c r="A95" s="198" t="s">
        <v>482</v>
      </c>
      <c r="B95" s="200">
        <f>1888.28</f>
        <v>1888.28</v>
      </c>
    </row>
    <row r="96" spans="1:2" ht="14.25">
      <c r="A96" s="198" t="s">
        <v>483</v>
      </c>
      <c r="B96" s="200">
        <f>2926</f>
        <v>2926</v>
      </c>
    </row>
    <row r="97" spans="1:2" ht="14.25">
      <c r="A97" s="198" t="s">
        <v>505</v>
      </c>
      <c r="B97" s="200">
        <f>1923</f>
        <v>1923</v>
      </c>
    </row>
    <row r="98" spans="1:2" ht="14.25">
      <c r="A98" s="198" t="s">
        <v>506</v>
      </c>
      <c r="B98" s="200">
        <f>3248</f>
        <v>3248</v>
      </c>
    </row>
    <row r="99" spans="1:2" ht="14.25">
      <c r="A99" s="198" t="s">
        <v>484</v>
      </c>
      <c r="B99" s="200">
        <f>15677</f>
        <v>15677</v>
      </c>
    </row>
    <row r="100" spans="1:2" ht="14.25">
      <c r="A100" s="198" t="s">
        <v>485</v>
      </c>
      <c r="B100" s="200">
        <f>1082.84</f>
        <v>1082.84</v>
      </c>
    </row>
    <row r="101" spans="1:2" ht="14.25">
      <c r="A101" s="198" t="s">
        <v>486</v>
      </c>
      <c r="B101" s="200">
        <f>-82.36</f>
        <v>-82.36</v>
      </c>
    </row>
    <row r="102" spans="1:2" ht="14.25">
      <c r="A102" s="198" t="s">
        <v>487</v>
      </c>
      <c r="B102" s="200">
        <f>40978.29</f>
        <v>40978.29</v>
      </c>
    </row>
    <row r="103" spans="1:2" ht="14.25">
      <c r="A103" s="198" t="s">
        <v>488</v>
      </c>
      <c r="B103" s="200">
        <f>105.99</f>
        <v>105.99</v>
      </c>
    </row>
    <row r="104" spans="1:2" ht="14.25">
      <c r="A104" s="198" t="s">
        <v>489</v>
      </c>
      <c r="B104" s="200">
        <f>16038.09</f>
        <v>16038.09</v>
      </c>
    </row>
    <row r="105" spans="1:2" ht="14.25">
      <c r="A105" s="198" t="s">
        <v>490</v>
      </c>
      <c r="B105" s="199"/>
    </row>
    <row r="106" spans="1:2" ht="14.25">
      <c r="A106" s="198" t="s">
        <v>491</v>
      </c>
      <c r="B106" s="200">
        <f>33.94</f>
        <v>33.94</v>
      </c>
    </row>
    <row r="107" spans="1:2" ht="14.25">
      <c r="A107" s="198" t="s">
        <v>492</v>
      </c>
      <c r="B107" s="200">
        <f>443.75</f>
        <v>443.75</v>
      </c>
    </row>
    <row r="108" spans="1:2" ht="14.25">
      <c r="A108" s="198" t="s">
        <v>493</v>
      </c>
      <c r="B108" s="201">
        <f>((B105)+(B106))+(B107)</f>
        <v>477.69</v>
      </c>
    </row>
    <row r="109" spans="1:2" ht="14.25">
      <c r="A109" s="198" t="s">
        <v>494</v>
      </c>
      <c r="B109" s="200">
        <f>123.94</f>
        <v>123.94</v>
      </c>
    </row>
    <row r="110" spans="1:2" ht="14.25">
      <c r="A110" s="198" t="s">
        <v>495</v>
      </c>
      <c r="B110" s="200">
        <f>290.67</f>
        <v>290.67</v>
      </c>
    </row>
    <row r="111" spans="1:2" ht="14.25">
      <c r="A111" s="198" t="s">
        <v>185</v>
      </c>
      <c r="B111" s="201">
        <f>((((((((((((((((((((((((((((((((((((((((((((((((((((((((B51)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108))+(B109))+(B110)</f>
        <v>212655.34000000003</v>
      </c>
    </row>
    <row r="112" spans="1:2" ht="14.25">
      <c r="A112" s="198" t="s">
        <v>496</v>
      </c>
      <c r="B112" s="201">
        <f>(B49)-(B111)</f>
        <v>38807.12999999995</v>
      </c>
    </row>
    <row r="113" spans="1:2" ht="14.25">
      <c r="A113" s="198" t="s">
        <v>497</v>
      </c>
      <c r="B113" s="199"/>
    </row>
    <row r="114" spans="1:2" ht="14.25">
      <c r="A114" s="198" t="s">
        <v>498</v>
      </c>
      <c r="B114" s="200">
        <f>298.56</f>
        <v>298.56</v>
      </c>
    </row>
    <row r="115" spans="1:2" ht="14.25">
      <c r="A115" s="198" t="s">
        <v>499</v>
      </c>
      <c r="B115" s="201">
        <f>B114</f>
        <v>298.56</v>
      </c>
    </row>
    <row r="116" spans="1:2" ht="14.25">
      <c r="A116" s="198" t="s">
        <v>500</v>
      </c>
      <c r="B116" s="201">
        <f>(0)-(B115)</f>
        <v>-298.56</v>
      </c>
    </row>
    <row r="117" spans="1:2" ht="14.25">
      <c r="A117" s="198" t="s">
        <v>501</v>
      </c>
      <c r="B117" s="201">
        <f>(B112)+(B116)</f>
        <v>38508.56999999995</v>
      </c>
    </row>
    <row r="118" spans="1:2" ht="14.25">
      <c r="A118" s="198"/>
      <c r="B118" s="199"/>
    </row>
    <row r="121" spans="1:2" ht="14.25">
      <c r="A121" s="222" t="s">
        <v>514</v>
      </c>
      <c r="B121" s="223"/>
    </row>
  </sheetData>
  <sheetProtection/>
  <mergeCells count="4">
    <mergeCell ref="A121:B121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0"/>
  <sheetViews>
    <sheetView zoomScalePageLayoutView="0" workbookViewId="0" topLeftCell="A202">
      <selection activeCell="E220" sqref="E220"/>
    </sheetView>
  </sheetViews>
  <sheetFormatPr defaultColWidth="9.140625" defaultRowHeight="12.75"/>
  <cols>
    <col min="1" max="1" width="9.7109375" style="115" customWidth="1"/>
    <col min="2" max="2" width="42.421875" style="114" customWidth="1"/>
    <col min="3" max="3" width="12.421875" style="116" hidden="1" customWidth="1"/>
    <col min="4" max="4" width="20.421875" style="117" hidden="1" customWidth="1"/>
    <col min="5" max="5" width="35.421875" style="116" customWidth="1"/>
    <col min="6" max="6" width="18.8515625" style="116" hidden="1" customWidth="1"/>
    <col min="7" max="7" width="55.421875" style="116" hidden="1" customWidth="1"/>
    <col min="8" max="8" width="5.28125" style="114" hidden="1" customWidth="1"/>
    <col min="9" max="9" width="9.28125" style="114" customWidth="1"/>
    <col min="10" max="16384" width="9.140625" style="114" customWidth="1"/>
  </cols>
  <sheetData>
    <row r="2" spans="1:7" ht="12.75">
      <c r="A2" s="226" t="s">
        <v>243</v>
      </c>
      <c r="B2" s="227"/>
      <c r="C2" s="227"/>
      <c r="D2" s="227"/>
      <c r="E2" s="227"/>
      <c r="F2" s="227"/>
      <c r="G2" s="228"/>
    </row>
    <row r="3" spans="1:7" ht="12.75">
      <c r="A3" s="229"/>
      <c r="B3" s="230"/>
      <c r="C3" s="230"/>
      <c r="D3" s="230"/>
      <c r="E3" s="230"/>
      <c r="F3" s="230"/>
      <c r="G3" s="231"/>
    </row>
    <row r="4" spans="1:7" ht="13.5">
      <c r="A4" s="118"/>
      <c r="B4" s="119"/>
      <c r="C4" s="120">
        <v>2015</v>
      </c>
      <c r="D4" s="121" t="s">
        <v>244</v>
      </c>
      <c r="E4" s="120">
        <v>2016</v>
      </c>
      <c r="F4" s="122" t="s">
        <v>245</v>
      </c>
      <c r="G4" s="123">
        <v>2013</v>
      </c>
    </row>
    <row r="5" spans="1:7" ht="13.5">
      <c r="A5" s="124" t="s">
        <v>246</v>
      </c>
      <c r="B5" s="125"/>
      <c r="C5" s="126" t="s">
        <v>247</v>
      </c>
      <c r="D5" s="127" t="s">
        <v>248</v>
      </c>
      <c r="E5" s="126" t="s">
        <v>249</v>
      </c>
      <c r="F5" s="126" t="s">
        <v>250</v>
      </c>
      <c r="G5" s="128" t="s">
        <v>251</v>
      </c>
    </row>
    <row r="6" spans="1:7" ht="13.5">
      <c r="A6" s="129" t="s">
        <v>252</v>
      </c>
      <c r="B6" s="130" t="s">
        <v>253</v>
      </c>
      <c r="C6" s="130" t="s">
        <v>4</v>
      </c>
      <c r="D6" s="131" t="s">
        <v>254</v>
      </c>
      <c r="E6" s="130" t="s">
        <v>4</v>
      </c>
      <c r="F6" s="130" t="s">
        <v>255</v>
      </c>
      <c r="G6" s="132" t="s">
        <v>4</v>
      </c>
    </row>
    <row r="7" spans="3:7" ht="12.75">
      <c r="C7" s="133"/>
      <c r="E7" s="134"/>
      <c r="F7" s="133"/>
      <c r="G7" s="133"/>
    </row>
    <row r="8" spans="1:8" ht="12.75">
      <c r="A8" s="115">
        <v>130</v>
      </c>
      <c r="B8" s="115" t="s">
        <v>256</v>
      </c>
      <c r="C8" s="117"/>
      <c r="E8" s="134"/>
      <c r="F8" s="135"/>
      <c r="G8" s="133"/>
      <c r="H8" s="114" t="s">
        <v>257</v>
      </c>
    </row>
    <row r="9" spans="2:8" ht="12.75">
      <c r="B9" s="136" t="s">
        <v>258</v>
      </c>
      <c r="C9" s="137"/>
      <c r="D9" s="137"/>
      <c r="E9" s="138"/>
      <c r="F9" s="135" t="e">
        <f>E9-#REF!</f>
        <v>#REF!</v>
      </c>
      <c r="G9" s="133"/>
      <c r="H9" s="114" t="s">
        <v>259</v>
      </c>
    </row>
    <row r="10" spans="2:7" ht="12.75">
      <c r="B10" s="136" t="s">
        <v>260</v>
      </c>
      <c r="C10" s="137"/>
      <c r="D10" s="137"/>
      <c r="E10" s="139">
        <f>E225</f>
        <v>8760</v>
      </c>
      <c r="F10" s="135"/>
      <c r="G10" s="133"/>
    </row>
    <row r="11" spans="2:7" ht="12.75">
      <c r="B11" s="136" t="s">
        <v>261</v>
      </c>
      <c r="C11" s="137">
        <v>21135</v>
      </c>
      <c r="D11" s="137"/>
      <c r="E11" s="139">
        <v>6897</v>
      </c>
      <c r="F11" s="135" t="e">
        <f>E11-#REF!</f>
        <v>#REF!</v>
      </c>
      <c r="G11" s="133">
        <f>E11</f>
        <v>6897</v>
      </c>
    </row>
    <row r="12" spans="2:8" ht="12.75">
      <c r="B12" s="140" t="s">
        <v>262</v>
      </c>
      <c r="C12" s="137">
        <v>0</v>
      </c>
      <c r="D12" s="137"/>
      <c r="E12" s="139">
        <v>0</v>
      </c>
      <c r="F12" s="135" t="e">
        <f>E12-#REF!</f>
        <v>#REF!</v>
      </c>
      <c r="G12" s="133">
        <f>E12</f>
        <v>0</v>
      </c>
      <c r="H12" s="114" t="s">
        <v>263</v>
      </c>
    </row>
    <row r="13" spans="2:8" ht="12.75">
      <c r="B13" s="115"/>
      <c r="C13" s="117"/>
      <c r="E13" s="134"/>
      <c r="F13" s="135"/>
      <c r="G13" s="133"/>
      <c r="H13" s="114" t="s">
        <v>264</v>
      </c>
    </row>
    <row r="14" spans="1:8" ht="12.75">
      <c r="A14" s="115">
        <v>230</v>
      </c>
      <c r="B14" s="141" t="s">
        <v>265</v>
      </c>
      <c r="C14" s="137"/>
      <c r="D14" s="137"/>
      <c r="E14" s="138"/>
      <c r="F14" s="135" t="e">
        <f>E14-#REF!</f>
        <v>#REF!</v>
      </c>
      <c r="G14" s="133"/>
      <c r="H14" s="114" t="s">
        <v>266</v>
      </c>
    </row>
    <row r="15" spans="3:7" ht="12.75">
      <c r="C15" s="117"/>
      <c r="E15" s="134"/>
      <c r="F15" s="135"/>
      <c r="G15" s="133"/>
    </row>
    <row r="16" spans="1:7" ht="12.75">
      <c r="A16" s="115">
        <v>300</v>
      </c>
      <c r="B16" s="115" t="s">
        <v>267</v>
      </c>
      <c r="C16" s="117"/>
      <c r="E16" s="133"/>
      <c r="F16" s="135"/>
      <c r="G16" s="133"/>
    </row>
    <row r="17" spans="2:7" ht="12.75">
      <c r="B17" s="142" t="s">
        <v>268</v>
      </c>
      <c r="C17" s="137">
        <v>115501</v>
      </c>
      <c r="D17" s="137">
        <f>'[2]Profit and Loss'!B7+'[2]Profit and Loss'!G40</f>
        <v>108666.104</v>
      </c>
      <c r="E17" s="143">
        <f>'[2]RE Tax Calc'!F20</f>
        <v>115488.8509090909</v>
      </c>
      <c r="F17" s="135" t="e">
        <f>E17-#REF!</f>
        <v>#REF!</v>
      </c>
      <c r="G17" s="133">
        <f>E17</f>
        <v>115488.8509090909</v>
      </c>
    </row>
    <row r="18" spans="2:7" ht="12.75">
      <c r="B18" s="142" t="s">
        <v>269</v>
      </c>
      <c r="C18" s="137">
        <v>0</v>
      </c>
      <c r="D18" s="137">
        <f>'[2]Profit and Loss'!B38</f>
        <v>-1869.05</v>
      </c>
      <c r="E18" s="144">
        <v>0</v>
      </c>
      <c r="F18" s="135"/>
      <c r="G18" s="133"/>
    </row>
    <row r="19" spans="2:7" ht="12.75">
      <c r="B19" s="142" t="s">
        <v>270</v>
      </c>
      <c r="C19" s="137">
        <v>9059</v>
      </c>
      <c r="D19" s="137">
        <f>'[2]Profit and Loss'!B34+'[2]Profit and Loss'!G42</f>
        <v>8660.176</v>
      </c>
      <c r="E19" s="143">
        <f>'[2]RE Tax Calc'!F22</f>
        <v>9057.949090909091</v>
      </c>
      <c r="F19" s="135" t="e">
        <f>E19-#REF!</f>
        <v>#REF!</v>
      </c>
      <c r="G19" s="133">
        <f>E19</f>
        <v>9057.949090909091</v>
      </c>
    </row>
    <row r="20" spans="2:7" ht="12.75">
      <c r="B20" s="142" t="s">
        <v>271</v>
      </c>
      <c r="C20" s="137">
        <v>0</v>
      </c>
      <c r="D20" s="137">
        <f>'[2]Profit and Loss'!B39</f>
        <v>-149.33</v>
      </c>
      <c r="E20" s="144">
        <v>0</v>
      </c>
      <c r="F20" s="135"/>
      <c r="G20" s="133"/>
    </row>
    <row r="21" spans="2:7" ht="12.75">
      <c r="B21" s="142" t="s">
        <v>12</v>
      </c>
      <c r="C21" s="137"/>
      <c r="D21" s="137">
        <f>'[2]Profit and Loss'!B17+'[2]Profit and Loss'!B18</f>
        <v>168</v>
      </c>
      <c r="E21" s="144"/>
      <c r="F21" s="135"/>
      <c r="G21" s="133"/>
    </row>
    <row r="22" spans="2:7" ht="12.75">
      <c r="B22" s="142" t="s">
        <v>272</v>
      </c>
      <c r="C22" s="137">
        <v>0</v>
      </c>
      <c r="D22" s="137">
        <f>'[2]Profit and Loss'!B8</f>
        <v>1682.55</v>
      </c>
      <c r="E22" s="144">
        <v>0</v>
      </c>
      <c r="F22" s="135" t="e">
        <f>E22-#REF!</f>
        <v>#REF!</v>
      </c>
      <c r="G22" s="133"/>
    </row>
    <row r="23" spans="2:7" ht="12.75">
      <c r="B23" s="142" t="s">
        <v>8</v>
      </c>
      <c r="C23" s="137">
        <v>0</v>
      </c>
      <c r="D23" s="137"/>
      <c r="E23" s="144">
        <v>0</v>
      </c>
      <c r="F23" s="135" t="e">
        <f>E23-#REF!</f>
        <v>#REF!</v>
      </c>
      <c r="G23" s="133"/>
    </row>
    <row r="24" spans="2:7" ht="12.75">
      <c r="B24" s="142" t="s">
        <v>19</v>
      </c>
      <c r="C24" s="137">
        <v>7500</v>
      </c>
      <c r="D24" s="137">
        <f>'[2]Profit and Loss'!B9</f>
        <v>15654.12</v>
      </c>
      <c r="E24" s="137">
        <v>7500</v>
      </c>
      <c r="F24" s="135" t="e">
        <f>E24-#REF!</f>
        <v>#REF!</v>
      </c>
      <c r="G24" s="133">
        <f>E24</f>
        <v>7500</v>
      </c>
    </row>
    <row r="25" spans="2:7" ht="12.75" hidden="1">
      <c r="B25" s="114" t="s">
        <v>273</v>
      </c>
      <c r="C25" s="117"/>
      <c r="E25" s="117"/>
      <c r="F25" s="135" t="e">
        <f>E25-#REF!</f>
        <v>#REF!</v>
      </c>
      <c r="G25" s="133"/>
    </row>
    <row r="26" spans="2:7" ht="12.75" hidden="1">
      <c r="B26" s="114" t="s">
        <v>12</v>
      </c>
      <c r="C26" s="117"/>
      <c r="E26" s="117"/>
      <c r="F26" s="135" t="e">
        <f>E26-#REF!</f>
        <v>#REF!</v>
      </c>
      <c r="G26" s="133"/>
    </row>
    <row r="27" spans="3:7" ht="12.75">
      <c r="C27" s="117"/>
      <c r="E27" s="117"/>
      <c r="F27" s="135"/>
      <c r="G27" s="133"/>
    </row>
    <row r="28" spans="1:7" ht="12.75">
      <c r="A28" s="115">
        <v>305</v>
      </c>
      <c r="B28" s="115" t="s">
        <v>274</v>
      </c>
      <c r="C28" s="117"/>
      <c r="E28" s="117"/>
      <c r="F28" s="135"/>
      <c r="G28" s="133"/>
    </row>
    <row r="29" spans="2:7" ht="12.75">
      <c r="B29" s="142" t="s">
        <v>275</v>
      </c>
      <c r="C29" s="137">
        <v>600</v>
      </c>
      <c r="D29" s="137">
        <f>'[2]Profit and Loss'!B10+'[2]Profit and Loss'!B19</f>
        <v>637.5</v>
      </c>
      <c r="E29" s="137">
        <v>600</v>
      </c>
      <c r="F29" s="135" t="e">
        <f>E29-#REF!</f>
        <v>#REF!</v>
      </c>
      <c r="G29" s="133">
        <f>E29</f>
        <v>600</v>
      </c>
    </row>
    <row r="30" spans="2:7" ht="12.75">
      <c r="B30" s="142" t="s">
        <v>276</v>
      </c>
      <c r="C30" s="137"/>
      <c r="D30" s="137">
        <f>'[2]Profit and Loss'!B40</f>
        <v>-10</v>
      </c>
      <c r="E30" s="144"/>
      <c r="F30" s="135"/>
      <c r="G30" s="133"/>
    </row>
    <row r="31" spans="2:7" ht="12.75">
      <c r="B31" s="142" t="s">
        <v>277</v>
      </c>
      <c r="C31" s="137">
        <v>0</v>
      </c>
      <c r="D31" s="137">
        <f>'[2]Profit and Loss'!B11</f>
        <v>44</v>
      </c>
      <c r="E31" s="144">
        <v>0</v>
      </c>
      <c r="F31" s="135" t="e">
        <f>E31-#REF!</f>
        <v>#REF!</v>
      </c>
      <c r="G31" s="133"/>
    </row>
    <row r="32" spans="3:7" ht="12.75">
      <c r="C32" s="117"/>
      <c r="E32" s="117"/>
      <c r="F32" s="135"/>
      <c r="G32" s="133"/>
    </row>
    <row r="33" spans="3:7" ht="12.75">
      <c r="C33" s="117"/>
      <c r="E33" s="117"/>
      <c r="F33" s="135"/>
      <c r="G33" s="133"/>
    </row>
    <row r="34" spans="1:7" ht="12.75">
      <c r="A34" s="115">
        <v>310</v>
      </c>
      <c r="B34" s="115" t="s">
        <v>278</v>
      </c>
      <c r="C34" s="117"/>
      <c r="E34" s="117"/>
      <c r="F34" s="135"/>
      <c r="G34" s="133"/>
    </row>
    <row r="35" spans="2:7" ht="12.75">
      <c r="B35" s="142" t="s">
        <v>27</v>
      </c>
      <c r="C35" s="137">
        <v>1000</v>
      </c>
      <c r="D35" s="137">
        <f>'[2]Profit and Loss'!B12+'[2]Profit and Loss'!B20</f>
        <v>987.5</v>
      </c>
      <c r="E35" s="137">
        <v>1000</v>
      </c>
      <c r="F35" s="135" t="e">
        <f>E35-#REF!</f>
        <v>#REF!</v>
      </c>
      <c r="G35" s="133">
        <f>E35</f>
        <v>1000</v>
      </c>
    </row>
    <row r="36" spans="2:7" ht="12.75" hidden="1">
      <c r="B36" s="142" t="s">
        <v>279</v>
      </c>
      <c r="C36" s="137">
        <v>0</v>
      </c>
      <c r="D36" s="137"/>
      <c r="E36" s="137">
        <v>0</v>
      </c>
      <c r="F36" s="135" t="e">
        <f>E36-#REF!</f>
        <v>#REF!</v>
      </c>
      <c r="G36" s="133">
        <f>E36</f>
        <v>0</v>
      </c>
    </row>
    <row r="37" spans="2:7" ht="12.75">
      <c r="B37" s="142" t="s">
        <v>280</v>
      </c>
      <c r="C37" s="137"/>
      <c r="D37" s="137">
        <f>'[2]Profit and Loss'!B41</f>
        <v>-15.8</v>
      </c>
      <c r="E37" s="144"/>
      <c r="F37" s="135"/>
      <c r="G37" s="133"/>
    </row>
    <row r="38" spans="2:7" ht="12.75">
      <c r="B38" s="142" t="s">
        <v>281</v>
      </c>
      <c r="C38" s="137">
        <v>100</v>
      </c>
      <c r="D38" s="137">
        <f>'[2]Profit and Loss'!B13</f>
        <v>33</v>
      </c>
      <c r="E38" s="137">
        <v>100</v>
      </c>
      <c r="F38" s="135" t="e">
        <f aca="true" t="shared" si="0" ref="F38:F43">E38-#REF!</f>
        <v>#REF!</v>
      </c>
      <c r="G38" s="133">
        <f aca="true" t="shared" si="1" ref="G38:G43">E38</f>
        <v>100</v>
      </c>
    </row>
    <row r="39" spans="2:7" ht="12.75" hidden="1">
      <c r="B39" s="142" t="s">
        <v>282</v>
      </c>
      <c r="C39" s="137">
        <v>0</v>
      </c>
      <c r="D39" s="137"/>
      <c r="E39" s="137">
        <v>0</v>
      </c>
      <c r="F39" s="135" t="e">
        <f t="shared" si="0"/>
        <v>#REF!</v>
      </c>
      <c r="G39" s="133">
        <f t="shared" si="1"/>
        <v>0</v>
      </c>
    </row>
    <row r="40" spans="2:7" ht="12.75">
      <c r="B40" s="142" t="s">
        <v>32</v>
      </c>
      <c r="C40" s="137">
        <v>1000</v>
      </c>
      <c r="D40" s="137">
        <f>'[2]Profit and Loss'!B14</f>
        <v>4606.73</v>
      </c>
      <c r="E40" s="137">
        <v>1000</v>
      </c>
      <c r="F40" s="135" t="e">
        <f t="shared" si="0"/>
        <v>#REF!</v>
      </c>
      <c r="G40" s="133">
        <f t="shared" si="1"/>
        <v>1000</v>
      </c>
    </row>
    <row r="41" spans="2:7" ht="12.75">
      <c r="B41" s="142" t="s">
        <v>283</v>
      </c>
      <c r="C41" s="137">
        <v>30000</v>
      </c>
      <c r="D41" s="137">
        <f>'[2]Profit and Loss'!B15</f>
        <v>28656.06</v>
      </c>
      <c r="E41" s="137">
        <v>30000</v>
      </c>
      <c r="F41" s="135" t="e">
        <f t="shared" si="0"/>
        <v>#REF!</v>
      </c>
      <c r="G41" s="133">
        <f t="shared" si="1"/>
        <v>30000</v>
      </c>
    </row>
    <row r="42" spans="2:7" ht="12.75" hidden="1">
      <c r="B42" s="142" t="s">
        <v>284</v>
      </c>
      <c r="C42" s="137">
        <v>0</v>
      </c>
      <c r="D42" s="137"/>
      <c r="E42" s="137">
        <v>0</v>
      </c>
      <c r="F42" s="135" t="e">
        <f t="shared" si="0"/>
        <v>#REF!</v>
      </c>
      <c r="G42" s="133">
        <f t="shared" si="1"/>
        <v>0</v>
      </c>
    </row>
    <row r="43" spans="2:7" ht="12.75">
      <c r="B43" s="142" t="s">
        <v>285</v>
      </c>
      <c r="C43" s="137">
        <v>1000</v>
      </c>
      <c r="D43" s="137">
        <f>'[2]Profit and Loss'!B16</f>
        <v>2168.8</v>
      </c>
      <c r="E43" s="137">
        <v>1000</v>
      </c>
      <c r="F43" s="135" t="e">
        <f t="shared" si="0"/>
        <v>#REF!</v>
      </c>
      <c r="G43" s="133">
        <f t="shared" si="1"/>
        <v>1000</v>
      </c>
    </row>
    <row r="44" spans="3:7" ht="12.75" hidden="1">
      <c r="C44" s="117"/>
      <c r="E44" s="117"/>
      <c r="F44" s="135"/>
      <c r="G44" s="133"/>
    </row>
    <row r="45" spans="1:7" ht="12.75" hidden="1">
      <c r="A45" s="115">
        <v>321</v>
      </c>
      <c r="B45" s="115" t="s">
        <v>286</v>
      </c>
      <c r="C45" s="117"/>
      <c r="E45" s="117"/>
      <c r="F45" s="135" t="e">
        <f>E45-#REF!</f>
        <v>#REF!</v>
      </c>
      <c r="G45" s="133"/>
    </row>
    <row r="46" spans="3:7" ht="12.75">
      <c r="C46" s="117"/>
      <c r="E46" s="117"/>
      <c r="F46" s="135"/>
      <c r="G46" s="133"/>
    </row>
    <row r="47" spans="1:7" ht="12.75">
      <c r="A47" s="115">
        <v>331</v>
      </c>
      <c r="B47" s="115" t="s">
        <v>287</v>
      </c>
      <c r="C47" s="117"/>
      <c r="E47" s="117"/>
      <c r="F47" s="135"/>
      <c r="G47" s="133"/>
    </row>
    <row r="48" spans="2:7" ht="12.75">
      <c r="B48" s="142" t="s">
        <v>288</v>
      </c>
      <c r="C48" s="137">
        <v>0</v>
      </c>
      <c r="D48" s="137"/>
      <c r="E48" s="144">
        <v>0</v>
      </c>
      <c r="F48" s="135" t="e">
        <f>E48-#REF!</f>
        <v>#REF!</v>
      </c>
      <c r="G48" s="133">
        <f>E48</f>
        <v>0</v>
      </c>
    </row>
    <row r="49" spans="2:7" ht="12.75">
      <c r="B49" s="136" t="s">
        <v>289</v>
      </c>
      <c r="C49" s="137">
        <v>250</v>
      </c>
      <c r="D49" s="137"/>
      <c r="E49" s="144">
        <v>0</v>
      </c>
      <c r="F49" s="135" t="e">
        <f>E49-#REF!</f>
        <v>#REF!</v>
      </c>
      <c r="G49" s="133">
        <f>E49</f>
        <v>0</v>
      </c>
    </row>
    <row r="50" spans="2:7" ht="12.75">
      <c r="B50" s="142" t="s">
        <v>37</v>
      </c>
      <c r="C50" s="137">
        <v>250</v>
      </c>
      <c r="D50" s="137">
        <f>'[2]Profit and Loss'!B21</f>
        <v>168.74</v>
      </c>
      <c r="E50" s="137">
        <v>200</v>
      </c>
      <c r="F50" s="135" t="e">
        <f>E50-#REF!</f>
        <v>#REF!</v>
      </c>
      <c r="G50" s="133">
        <f>E50</f>
        <v>200</v>
      </c>
    </row>
    <row r="51" spans="3:7" ht="12.75">
      <c r="C51" s="117"/>
      <c r="E51" s="117"/>
      <c r="F51" s="135"/>
      <c r="G51" s="133"/>
    </row>
    <row r="52" spans="1:7" ht="12.75">
      <c r="A52" s="115">
        <v>341</v>
      </c>
      <c r="B52" s="141" t="s">
        <v>39</v>
      </c>
      <c r="C52" s="137">
        <v>50</v>
      </c>
      <c r="D52" s="137">
        <f>'[2]Profit and Loss'!B27-D86</f>
        <v>29.599999999999998</v>
      </c>
      <c r="E52" s="137">
        <v>30</v>
      </c>
      <c r="F52" s="135" t="e">
        <f>E52-#REF!</f>
        <v>#REF!</v>
      </c>
      <c r="G52" s="133">
        <f>E52</f>
        <v>30</v>
      </c>
    </row>
    <row r="53" spans="2:7" ht="12.75">
      <c r="B53" s="115"/>
      <c r="C53" s="117"/>
      <c r="E53" s="117"/>
      <c r="F53" s="135"/>
      <c r="G53" s="133"/>
    </row>
    <row r="54" spans="1:7" ht="12.75">
      <c r="A54" s="115">
        <v>342</v>
      </c>
      <c r="B54" s="141" t="s">
        <v>290</v>
      </c>
      <c r="C54" s="137">
        <v>12</v>
      </c>
      <c r="D54" s="137">
        <v>12</v>
      </c>
      <c r="E54" s="137">
        <v>12</v>
      </c>
      <c r="F54" s="135" t="e">
        <f>E54-#REF!</f>
        <v>#REF!</v>
      </c>
      <c r="G54" s="133">
        <f>E54</f>
        <v>12</v>
      </c>
    </row>
    <row r="55" spans="3:7" ht="12.75">
      <c r="C55" s="117"/>
      <c r="E55" s="117"/>
      <c r="F55" s="135"/>
      <c r="G55" s="133"/>
    </row>
    <row r="56" spans="1:7" ht="12.75">
      <c r="A56" s="115">
        <v>355</v>
      </c>
      <c r="B56" s="115" t="s">
        <v>291</v>
      </c>
      <c r="C56" s="117"/>
      <c r="E56" s="117"/>
      <c r="F56" s="135"/>
      <c r="G56" s="133"/>
    </row>
    <row r="57" spans="2:7" ht="12.75">
      <c r="B57" s="142" t="s">
        <v>41</v>
      </c>
      <c r="C57" s="137">
        <v>0</v>
      </c>
      <c r="D57" s="137">
        <f>'[2]Profit and Loss'!B29</f>
        <v>216.54</v>
      </c>
      <c r="E57" s="137">
        <v>200</v>
      </c>
      <c r="F57" s="135" t="e">
        <f>E57-#REF!</f>
        <v>#REF!</v>
      </c>
      <c r="G57" s="133">
        <f>E57</f>
        <v>200</v>
      </c>
    </row>
    <row r="58" spans="2:7" ht="12.75">
      <c r="B58" s="136" t="s">
        <v>292</v>
      </c>
      <c r="C58" s="137">
        <v>150</v>
      </c>
      <c r="D58" s="137">
        <v>0</v>
      </c>
      <c r="E58" s="137">
        <v>150</v>
      </c>
      <c r="F58" s="135" t="e">
        <f>E58-#REF!</f>
        <v>#REF!</v>
      </c>
      <c r="G58" s="133">
        <f>E58</f>
        <v>150</v>
      </c>
    </row>
    <row r="59" spans="3:7" ht="12.75">
      <c r="C59" s="117"/>
      <c r="E59" s="117"/>
      <c r="F59" s="135"/>
      <c r="G59" s="133"/>
    </row>
    <row r="60" spans="1:7" ht="12.75">
      <c r="A60" s="115">
        <v>361</v>
      </c>
      <c r="B60" s="115" t="s">
        <v>293</v>
      </c>
      <c r="C60" s="117"/>
      <c r="E60" s="117"/>
      <c r="F60" s="135"/>
      <c r="G60" s="133"/>
    </row>
    <row r="61" spans="2:7" ht="12.75">
      <c r="B61" s="142" t="s">
        <v>294</v>
      </c>
      <c r="C61" s="137">
        <v>250</v>
      </c>
      <c r="D61" s="137">
        <f>'[2]Profit and Loss'!B31</f>
        <v>359</v>
      </c>
      <c r="E61" s="137">
        <v>250</v>
      </c>
      <c r="F61" s="135" t="e">
        <f>E61-#REF!</f>
        <v>#REF!</v>
      </c>
      <c r="G61" s="133">
        <f aca="true" t="shared" si="2" ref="G61:G68">E61</f>
        <v>250</v>
      </c>
    </row>
    <row r="62" spans="2:7" ht="12.75" hidden="1">
      <c r="B62" s="142" t="s">
        <v>295</v>
      </c>
      <c r="C62" s="137">
        <v>0</v>
      </c>
      <c r="D62" s="137"/>
      <c r="E62" s="137">
        <v>0</v>
      </c>
      <c r="F62" s="135"/>
      <c r="G62" s="133">
        <f t="shared" si="2"/>
        <v>0</v>
      </c>
    </row>
    <row r="63" spans="2:7" ht="12.75" hidden="1">
      <c r="B63" s="142" t="s">
        <v>296</v>
      </c>
      <c r="C63" s="137">
        <v>0</v>
      </c>
      <c r="D63" s="137"/>
      <c r="E63" s="137">
        <v>0</v>
      </c>
      <c r="F63" s="135" t="e">
        <f>E63-#REF!</f>
        <v>#REF!</v>
      </c>
      <c r="G63" s="133">
        <f t="shared" si="2"/>
        <v>0</v>
      </c>
    </row>
    <row r="64" spans="2:7" ht="12.75">
      <c r="B64" s="142" t="s">
        <v>297</v>
      </c>
      <c r="C64" s="137">
        <v>0</v>
      </c>
      <c r="D64" s="137"/>
      <c r="E64" s="144">
        <v>0</v>
      </c>
      <c r="F64" s="135" t="e">
        <f>E64-#REF!</f>
        <v>#REF!</v>
      </c>
      <c r="G64" s="133">
        <f t="shared" si="2"/>
        <v>0</v>
      </c>
    </row>
    <row r="65" spans="2:7" ht="12.75">
      <c r="B65" s="142" t="s">
        <v>48</v>
      </c>
      <c r="C65" s="137">
        <v>0</v>
      </c>
      <c r="D65" s="137"/>
      <c r="E65" s="144">
        <v>0</v>
      </c>
      <c r="F65" s="135" t="e">
        <f>E65-#REF!</f>
        <v>#REF!</v>
      </c>
      <c r="G65" s="133">
        <f t="shared" si="2"/>
        <v>0</v>
      </c>
    </row>
    <row r="66" spans="2:7" ht="12.75">
      <c r="B66" s="142" t="s">
        <v>298</v>
      </c>
      <c r="C66" s="137">
        <v>250</v>
      </c>
      <c r="D66" s="137">
        <v>0</v>
      </c>
      <c r="E66" s="137">
        <v>250</v>
      </c>
      <c r="F66" s="135"/>
      <c r="G66" s="133">
        <f t="shared" si="2"/>
        <v>250</v>
      </c>
    </row>
    <row r="67" spans="2:7" ht="12.75">
      <c r="B67" s="142" t="s">
        <v>295</v>
      </c>
      <c r="C67" s="137"/>
      <c r="D67" s="137">
        <f>'[2]Profit and Loss'!B32</f>
        <v>650</v>
      </c>
      <c r="E67" s="137">
        <v>250</v>
      </c>
      <c r="F67" s="135"/>
      <c r="G67" s="133">
        <f t="shared" si="2"/>
        <v>250</v>
      </c>
    </row>
    <row r="68" spans="2:7" ht="12.75">
      <c r="B68" s="142" t="s">
        <v>299</v>
      </c>
      <c r="C68" s="137">
        <v>50</v>
      </c>
      <c r="D68" s="137">
        <v>0</v>
      </c>
      <c r="E68" s="137">
        <v>0</v>
      </c>
      <c r="F68" s="135" t="e">
        <f>E68-#REF!</f>
        <v>#REF!</v>
      </c>
      <c r="G68" s="133">
        <f t="shared" si="2"/>
        <v>0</v>
      </c>
    </row>
    <row r="69" spans="3:7" ht="12.75">
      <c r="C69" s="117"/>
      <c r="E69" s="117"/>
      <c r="F69" s="135"/>
      <c r="G69" s="133"/>
    </row>
    <row r="70" spans="1:7" ht="12.75">
      <c r="A70" s="115">
        <v>364</v>
      </c>
      <c r="B70" s="115" t="s">
        <v>300</v>
      </c>
      <c r="C70" s="117"/>
      <c r="E70" s="117"/>
      <c r="F70" s="135"/>
      <c r="G70" s="133"/>
    </row>
    <row r="71" spans="2:7" ht="12.75">
      <c r="B71" s="136" t="s">
        <v>301</v>
      </c>
      <c r="C71" s="137">
        <v>45000</v>
      </c>
      <c r="D71" s="137">
        <f>'[2]Profit and Loss'!B36</f>
        <v>40020.93</v>
      </c>
      <c r="E71" s="143">
        <f>225*200</f>
        <v>45000</v>
      </c>
      <c r="F71" s="135" t="e">
        <f>E71-#REF!</f>
        <v>#REF!</v>
      </c>
      <c r="G71" s="133">
        <f>E71</f>
        <v>45000</v>
      </c>
    </row>
    <row r="72" spans="2:7" ht="12.75">
      <c r="B72" s="136" t="s">
        <v>302</v>
      </c>
      <c r="C72" s="137">
        <v>1000</v>
      </c>
      <c r="D72" s="137">
        <f>'[2]Profit and Loss'!B37+'[2]Profit and Loss'!B44</f>
        <v>3675.58</v>
      </c>
      <c r="E72" s="145">
        <v>1000</v>
      </c>
      <c r="F72" s="135" t="e">
        <f>E72-#REF!</f>
        <v>#REF!</v>
      </c>
      <c r="G72" s="133">
        <f>E72</f>
        <v>1000</v>
      </c>
    </row>
    <row r="73" spans="3:7" ht="12.75">
      <c r="C73" s="117"/>
      <c r="E73" s="117"/>
      <c r="F73" s="135"/>
      <c r="G73" s="133"/>
    </row>
    <row r="74" spans="1:7" ht="12.75">
      <c r="A74" s="115">
        <v>387</v>
      </c>
      <c r="B74" s="115" t="s">
        <v>303</v>
      </c>
      <c r="C74" s="117"/>
      <c r="E74" s="117" t="e">
        <f>'2016 Budget Worksheet'!E107\</f>
        <v>#NAME?</v>
      </c>
      <c r="F74" s="135"/>
      <c r="G74" s="133"/>
    </row>
    <row r="75" spans="2:7" ht="12.75">
      <c r="B75" s="142" t="s">
        <v>304</v>
      </c>
      <c r="C75" s="137">
        <v>100</v>
      </c>
      <c r="D75" s="137">
        <f>'[2]Profit and Loss'!B33</f>
        <v>15224.08</v>
      </c>
      <c r="E75" s="137">
        <v>100</v>
      </c>
      <c r="F75" s="135"/>
      <c r="G75" s="133"/>
    </row>
    <row r="76" spans="3:7" ht="12.75">
      <c r="C76" s="117"/>
      <c r="E76" s="117"/>
      <c r="F76" s="135"/>
      <c r="G76" s="133"/>
    </row>
    <row r="77" spans="1:7" ht="12.75">
      <c r="A77" s="115">
        <v>389</v>
      </c>
      <c r="B77" s="115" t="s">
        <v>52</v>
      </c>
      <c r="C77" s="117"/>
      <c r="E77" s="117"/>
      <c r="F77" s="135"/>
      <c r="G77" s="133"/>
    </row>
    <row r="78" spans="2:7" ht="12.75">
      <c r="B78" s="142" t="s">
        <v>305</v>
      </c>
      <c r="C78" s="137">
        <v>150</v>
      </c>
      <c r="D78" s="137">
        <f>'[2]Profit and Loss'!B42+134</f>
        <v>1726.4</v>
      </c>
      <c r="E78" s="137">
        <v>150</v>
      </c>
      <c r="F78" s="135" t="e">
        <f>E78-#REF!</f>
        <v>#REF!</v>
      </c>
      <c r="G78" s="133">
        <f>E78</f>
        <v>150</v>
      </c>
    </row>
    <row r="79" spans="2:7" ht="12.75">
      <c r="B79" s="142" t="s">
        <v>306</v>
      </c>
      <c r="C79" s="137"/>
      <c r="D79" s="137"/>
      <c r="E79" s="144"/>
      <c r="F79" s="135" t="e">
        <f>E79-#REF!</f>
        <v>#REF!</v>
      </c>
      <c r="G79" s="133">
        <f>E79</f>
        <v>0</v>
      </c>
    </row>
    <row r="80" spans="2:7" ht="12.75">
      <c r="B80" s="142" t="s">
        <v>307</v>
      </c>
      <c r="C80" s="137"/>
      <c r="D80" s="137"/>
      <c r="E80" s="144"/>
      <c r="F80" s="135" t="e">
        <f>E80-#REF!</f>
        <v>#REF!</v>
      </c>
      <c r="G80" s="133">
        <f>E80</f>
        <v>0</v>
      </c>
    </row>
    <row r="81" spans="3:7" ht="12.75">
      <c r="C81" s="117"/>
      <c r="E81" s="117"/>
      <c r="F81" s="135"/>
      <c r="G81" s="133"/>
    </row>
    <row r="82" spans="1:7" ht="12.75">
      <c r="A82" s="115">
        <v>395</v>
      </c>
      <c r="B82" s="141" t="s">
        <v>308</v>
      </c>
      <c r="C82" s="137"/>
      <c r="D82" s="137"/>
      <c r="E82" s="137"/>
      <c r="F82" s="135" t="e">
        <f>E82-#REF!</f>
        <v>#REF!</v>
      </c>
      <c r="G82" s="133">
        <f>E82</f>
        <v>0</v>
      </c>
    </row>
    <row r="83" spans="3:7" ht="12.75">
      <c r="C83" s="117"/>
      <c r="E83" s="117"/>
      <c r="F83" s="135"/>
      <c r="G83" s="133"/>
    </row>
    <row r="84" spans="1:8" ht="12.75">
      <c r="A84" s="115">
        <v>355</v>
      </c>
      <c r="B84" s="115" t="s">
        <v>309</v>
      </c>
      <c r="C84" s="117"/>
      <c r="E84" s="117"/>
      <c r="F84" s="135"/>
      <c r="G84" s="133"/>
      <c r="H84" s="146"/>
    </row>
    <row r="85" spans="2:9" ht="12.75">
      <c r="B85" s="142" t="s">
        <v>310</v>
      </c>
      <c r="C85" s="137">
        <v>18291</v>
      </c>
      <c r="D85" s="137">
        <v>0</v>
      </c>
      <c r="E85" s="143">
        <v>21489</v>
      </c>
      <c r="F85" s="135" t="e">
        <f>E85-#REF!</f>
        <v>#REF!</v>
      </c>
      <c r="G85" s="133">
        <f>E85</f>
        <v>21489</v>
      </c>
      <c r="I85" s="147"/>
    </row>
    <row r="86" spans="2:7" ht="12.75">
      <c r="B86" s="142" t="s">
        <v>54</v>
      </c>
      <c r="C86" s="137">
        <v>5</v>
      </c>
      <c r="D86" s="137">
        <f>'[2]Profit and Loss'!B26</f>
        <v>3.23</v>
      </c>
      <c r="E86" s="145">
        <v>3</v>
      </c>
      <c r="F86" s="135" t="e">
        <f>E86-#REF!</f>
        <v>#REF!</v>
      </c>
      <c r="G86" s="133">
        <f>E86</f>
        <v>3</v>
      </c>
    </row>
    <row r="87" spans="2:7" ht="12.75">
      <c r="B87" s="136" t="s">
        <v>311</v>
      </c>
      <c r="C87" s="137">
        <v>2838</v>
      </c>
      <c r="D87" s="137">
        <f>'[2]Profit and Loss'!B30</f>
        <v>2744.69</v>
      </c>
      <c r="E87" s="145">
        <v>2745</v>
      </c>
      <c r="F87" s="135" t="e">
        <f>E87-#REF!</f>
        <v>#REF!</v>
      </c>
      <c r="G87" s="133">
        <f>E87</f>
        <v>2745</v>
      </c>
    </row>
    <row r="88" spans="3:7" ht="12.75">
      <c r="C88" s="148"/>
      <c r="D88" s="148"/>
      <c r="E88" s="149"/>
      <c r="F88" s="150"/>
      <c r="G88" s="149"/>
    </row>
    <row r="89" spans="2:8" ht="12.75">
      <c r="B89" s="151" t="s">
        <v>312</v>
      </c>
      <c r="C89" s="152">
        <f>SUM(C8:C87)</f>
        <v>255541</v>
      </c>
      <c r="D89" s="153">
        <f>SUM(D8:D87)</f>
        <v>234751.15</v>
      </c>
      <c r="E89" s="150" t="e">
        <f>SUM(E71:E87)+SUM(E9:E68)</f>
        <v>#NAME?</v>
      </c>
      <c r="F89" s="154" t="e">
        <f>SUM(F8:F88)</f>
        <v>#REF!</v>
      </c>
      <c r="G89" s="149">
        <f>SUM(G8:G87)</f>
        <v>244372.8</v>
      </c>
      <c r="H89" s="146"/>
    </row>
    <row r="90" spans="2:7" ht="12.75">
      <c r="B90" s="151" t="s">
        <v>313</v>
      </c>
      <c r="C90" s="155">
        <f>SUM(C85+C86+C87+C71+C72)</f>
        <v>67134</v>
      </c>
      <c r="D90" s="155">
        <f>SUM(D85+D86+D87+D71+D72)</f>
        <v>46444.43</v>
      </c>
      <c r="E90" s="155">
        <f>SUM(E85+E86+E87+E71+E72+E10)</f>
        <v>78997</v>
      </c>
      <c r="F90" s="156" t="e">
        <f>F85++F86+F87+F80+F12</f>
        <v>#REF!</v>
      </c>
      <c r="G90" s="157">
        <f>G85++G86+G87+G80+G12</f>
        <v>24237</v>
      </c>
    </row>
    <row r="91" spans="2:9" ht="12.75">
      <c r="B91" s="151" t="s">
        <v>314</v>
      </c>
      <c r="C91" s="158">
        <f>C89-C90</f>
        <v>188407</v>
      </c>
      <c r="D91" s="158">
        <f>D89-D90</f>
        <v>188306.72</v>
      </c>
      <c r="E91" s="159" t="e">
        <f>E89-E90</f>
        <v>#NAME?</v>
      </c>
      <c r="F91" s="156" t="e">
        <f>F89-F90</f>
        <v>#REF!</v>
      </c>
      <c r="G91" s="157">
        <f>G89-G90</f>
        <v>220135.8</v>
      </c>
      <c r="I91" s="160"/>
    </row>
    <row r="92" spans="2:7" ht="12.75">
      <c r="B92" s="151"/>
      <c r="C92" s="161"/>
      <c r="D92" s="161"/>
      <c r="E92" s="162"/>
      <c r="F92" s="162"/>
      <c r="G92" s="163"/>
    </row>
    <row r="93" spans="2:7" ht="12.75">
      <c r="B93" s="164"/>
      <c r="C93" s="133"/>
      <c r="E93" s="133"/>
      <c r="F93" s="133"/>
      <c r="G93" s="133"/>
    </row>
    <row r="94" spans="1:7" ht="12.75">
      <c r="A94" s="232" t="s">
        <v>315</v>
      </c>
      <c r="B94" s="233"/>
      <c r="C94" s="233"/>
      <c r="D94" s="233"/>
      <c r="E94" s="233"/>
      <c r="F94" s="233"/>
      <c r="G94" s="234"/>
    </row>
    <row r="95" spans="1:7" ht="12.75">
      <c r="A95" s="235"/>
      <c r="B95" s="236"/>
      <c r="C95" s="236"/>
      <c r="D95" s="236"/>
      <c r="E95" s="236"/>
      <c r="F95" s="236"/>
      <c r="G95" s="237"/>
    </row>
    <row r="96" spans="1:7" ht="13.5">
      <c r="A96" s="118"/>
      <c r="B96" s="119"/>
      <c r="C96" s="120">
        <v>2015</v>
      </c>
      <c r="D96" s="121" t="s">
        <v>182</v>
      </c>
      <c r="E96" s="120">
        <v>2015</v>
      </c>
      <c r="F96" s="122" t="s">
        <v>245</v>
      </c>
      <c r="G96" s="123">
        <v>2013</v>
      </c>
    </row>
    <row r="97" spans="1:7" ht="13.5">
      <c r="A97" s="124" t="s">
        <v>246</v>
      </c>
      <c r="B97" s="125"/>
      <c r="C97" s="126" t="s">
        <v>247</v>
      </c>
      <c r="D97" s="127" t="s">
        <v>248</v>
      </c>
      <c r="E97" s="126" t="s">
        <v>249</v>
      </c>
      <c r="F97" s="126" t="s">
        <v>250</v>
      </c>
      <c r="G97" s="128" t="s">
        <v>251</v>
      </c>
    </row>
    <row r="98" spans="1:7" ht="13.5">
      <c r="A98" s="129" t="s">
        <v>252</v>
      </c>
      <c r="B98" s="130" t="s">
        <v>253</v>
      </c>
      <c r="C98" s="130" t="s">
        <v>4</v>
      </c>
      <c r="D98" s="131" t="s">
        <v>254</v>
      </c>
      <c r="E98" s="130" t="s">
        <v>4</v>
      </c>
      <c r="F98" s="130" t="s">
        <v>255</v>
      </c>
      <c r="G98" s="132" t="s">
        <v>4</v>
      </c>
    </row>
    <row r="99" spans="3:7" ht="12.75">
      <c r="C99" s="133"/>
      <c r="D99" s="165"/>
      <c r="E99" s="133"/>
      <c r="F99" s="133"/>
      <c r="G99" s="133"/>
    </row>
    <row r="100" spans="1:7" ht="12.75">
      <c r="A100" s="115">
        <v>400</v>
      </c>
      <c r="B100" s="115" t="s">
        <v>316</v>
      </c>
      <c r="C100" s="117"/>
      <c r="D100" s="165"/>
      <c r="E100" s="166"/>
      <c r="F100" s="165"/>
      <c r="G100" s="133"/>
    </row>
    <row r="101" spans="2:7" ht="12.75">
      <c r="B101" s="142" t="s">
        <v>317</v>
      </c>
      <c r="C101" s="145">
        <f>4800</f>
        <v>4800</v>
      </c>
      <c r="D101" s="167">
        <f>'[2]Profit and Loss'!B48</f>
        <v>4000</v>
      </c>
      <c r="E101" s="145">
        <v>4800</v>
      </c>
      <c r="F101" s="165" t="e">
        <f>E101-#REF!</f>
        <v>#REF!</v>
      </c>
      <c r="G101" s="133">
        <f>E101</f>
        <v>4800</v>
      </c>
    </row>
    <row r="102" spans="2:7" ht="12.75">
      <c r="B102" s="142" t="s">
        <v>318</v>
      </c>
      <c r="C102" s="145">
        <v>100</v>
      </c>
      <c r="D102" s="167">
        <f>'[2]Profit and Loss'!B50</f>
        <v>40</v>
      </c>
      <c r="E102" s="145">
        <v>100</v>
      </c>
      <c r="F102" s="165" t="e">
        <f>E102-#REF!</f>
        <v>#REF!</v>
      </c>
      <c r="G102" s="133">
        <f>E102</f>
        <v>100</v>
      </c>
    </row>
    <row r="103" spans="2:7" ht="12.75">
      <c r="B103" s="142" t="s">
        <v>319</v>
      </c>
      <c r="C103" s="145">
        <v>500</v>
      </c>
      <c r="D103" s="167"/>
      <c r="E103" s="145">
        <v>500</v>
      </c>
      <c r="F103" s="165" t="e">
        <f>E103-#REF!</f>
        <v>#REF!</v>
      </c>
      <c r="G103" s="133"/>
    </row>
    <row r="104" spans="2:7" ht="12.75">
      <c r="B104" s="142" t="s">
        <v>320</v>
      </c>
      <c r="C104" s="145"/>
      <c r="D104" s="167"/>
      <c r="E104" s="145">
        <v>500</v>
      </c>
      <c r="F104" s="165"/>
      <c r="G104" s="133"/>
    </row>
    <row r="105" spans="3:7" ht="12.75">
      <c r="C105" s="166"/>
      <c r="D105" s="165"/>
      <c r="E105" s="166"/>
      <c r="F105" s="165"/>
      <c r="G105" s="133"/>
    </row>
    <row r="106" spans="1:7" ht="12.75">
      <c r="A106" s="115">
        <v>401</v>
      </c>
      <c r="B106" s="115" t="s">
        <v>65</v>
      </c>
      <c r="C106" s="166"/>
      <c r="D106" s="165"/>
      <c r="E106" s="166"/>
      <c r="F106" s="165"/>
      <c r="G106" s="133"/>
    </row>
    <row r="107" spans="2:7" ht="12.75">
      <c r="B107" s="142" t="s">
        <v>321</v>
      </c>
      <c r="C107" s="145">
        <v>1200</v>
      </c>
      <c r="D107" s="167">
        <f>'[2]Profit and Loss'!B53</f>
        <v>1000</v>
      </c>
      <c r="E107" s="145">
        <v>1200</v>
      </c>
      <c r="F107" s="165" t="e">
        <f>E107-#REF!</f>
        <v>#REF!</v>
      </c>
      <c r="G107" s="133">
        <f>E107</f>
        <v>1200</v>
      </c>
    </row>
    <row r="108" spans="2:7" ht="12.75">
      <c r="B108" s="142" t="s">
        <v>318</v>
      </c>
      <c r="C108" s="145">
        <v>50</v>
      </c>
      <c r="D108" s="167"/>
      <c r="E108" s="145">
        <v>50</v>
      </c>
      <c r="F108" s="165" t="e">
        <f>E108-#REF!</f>
        <v>#REF!</v>
      </c>
      <c r="G108" s="133">
        <f>E108</f>
        <v>50</v>
      </c>
    </row>
    <row r="109" spans="3:7" ht="12.75">
      <c r="C109" s="166"/>
      <c r="D109" s="165"/>
      <c r="E109" s="166"/>
      <c r="F109" s="165"/>
      <c r="G109" s="133"/>
    </row>
    <row r="110" spans="1:7" ht="12.75">
      <c r="A110" s="115">
        <v>402</v>
      </c>
      <c r="B110" s="141" t="s">
        <v>68</v>
      </c>
      <c r="C110" s="145">
        <v>2500</v>
      </c>
      <c r="D110" s="167">
        <f>'[2]Profit and Loss'!B54</f>
        <v>2500</v>
      </c>
      <c r="E110" s="145">
        <v>2500</v>
      </c>
      <c r="F110" s="165" t="e">
        <f>E110-#REF!</f>
        <v>#REF!</v>
      </c>
      <c r="G110" s="133">
        <f>E110</f>
        <v>2500</v>
      </c>
    </row>
    <row r="111" spans="3:7" ht="12.75">
      <c r="C111" s="166"/>
      <c r="D111" s="165"/>
      <c r="E111" s="166"/>
      <c r="F111" s="165"/>
      <c r="G111" s="133"/>
    </row>
    <row r="112" spans="1:7" ht="12.75">
      <c r="A112" s="115">
        <v>403</v>
      </c>
      <c r="B112" s="115" t="s">
        <v>69</v>
      </c>
      <c r="C112" s="166"/>
      <c r="D112" s="165"/>
      <c r="E112" s="166"/>
      <c r="F112" s="165"/>
      <c r="G112" s="133"/>
    </row>
    <row r="113" spans="2:7" ht="12.75">
      <c r="B113" s="142" t="s">
        <v>322</v>
      </c>
      <c r="C113" s="145">
        <v>3000</v>
      </c>
      <c r="D113" s="167">
        <f>'[2]Profit and Loss'!B55</f>
        <v>2500</v>
      </c>
      <c r="E113" s="145">
        <v>3000</v>
      </c>
      <c r="F113" s="165" t="e">
        <f>E113-#REF!</f>
        <v>#REF!</v>
      </c>
      <c r="G113" s="133">
        <f>E113</f>
        <v>3000</v>
      </c>
    </row>
    <row r="114" spans="2:7" ht="12.75">
      <c r="B114" s="142" t="s">
        <v>323</v>
      </c>
      <c r="C114" s="144">
        <v>0</v>
      </c>
      <c r="D114" s="167"/>
      <c r="E114" s="144">
        <v>0</v>
      </c>
      <c r="F114" s="165" t="e">
        <f>E114-#REF!</f>
        <v>#REF!</v>
      </c>
      <c r="G114" s="133">
        <f>E114</f>
        <v>0</v>
      </c>
    </row>
    <row r="115" spans="2:7" ht="12.75">
      <c r="B115" s="142" t="s">
        <v>324</v>
      </c>
      <c r="C115" s="144"/>
      <c r="D115" s="167"/>
      <c r="E115" s="145">
        <v>500</v>
      </c>
      <c r="F115" s="165"/>
      <c r="G115" s="133"/>
    </row>
    <row r="116" spans="2:7" ht="12.75">
      <c r="B116" s="142" t="s">
        <v>325</v>
      </c>
      <c r="C116" s="145">
        <v>300</v>
      </c>
      <c r="D116" s="167">
        <f>'[2]Profit and Loss'!B56</f>
        <v>87.14</v>
      </c>
      <c r="E116" s="145">
        <v>200</v>
      </c>
      <c r="F116" s="165" t="e">
        <f>E116-#REF!</f>
        <v>#REF!</v>
      </c>
      <c r="G116" s="133">
        <f>E116</f>
        <v>200</v>
      </c>
    </row>
    <row r="117" spans="3:7" ht="12.75">
      <c r="C117" s="166"/>
      <c r="D117" s="165"/>
      <c r="E117" s="166"/>
      <c r="F117" s="165"/>
      <c r="G117" s="133"/>
    </row>
    <row r="118" spans="1:7" ht="12.75">
      <c r="A118" s="115">
        <v>404</v>
      </c>
      <c r="B118" s="115" t="s">
        <v>74</v>
      </c>
      <c r="C118" s="166"/>
      <c r="D118" s="165"/>
      <c r="E118" s="166"/>
      <c r="F118" s="165"/>
      <c r="G118" s="133"/>
    </row>
    <row r="119" spans="2:7" ht="12.75">
      <c r="B119" s="142" t="s">
        <v>326</v>
      </c>
      <c r="C119" s="145">
        <v>4500</v>
      </c>
      <c r="D119" s="167">
        <f>'[2]Profit and Loss'!B57</f>
        <v>2795.75</v>
      </c>
      <c r="E119" s="145">
        <v>4000</v>
      </c>
      <c r="F119" s="165" t="e">
        <f>E119-#REF!</f>
        <v>#REF!</v>
      </c>
      <c r="G119" s="133">
        <f>E119</f>
        <v>4000</v>
      </c>
    </row>
    <row r="120" spans="2:7" ht="12.75">
      <c r="B120" s="142" t="s">
        <v>327</v>
      </c>
      <c r="C120" s="145">
        <v>1000</v>
      </c>
      <c r="D120" s="139"/>
      <c r="E120" s="145">
        <v>1000</v>
      </c>
      <c r="F120" s="165" t="e">
        <f>E120-#REF!</f>
        <v>#REF!</v>
      </c>
      <c r="G120" s="133">
        <f>E120</f>
        <v>1000</v>
      </c>
    </row>
    <row r="121" spans="3:7" ht="12.75">
      <c r="C121" s="166"/>
      <c r="D121" s="165"/>
      <c r="E121" s="166"/>
      <c r="F121" s="165"/>
      <c r="G121" s="133"/>
    </row>
    <row r="122" spans="1:7" ht="12.75">
      <c r="A122" s="115">
        <v>405</v>
      </c>
      <c r="B122" s="115" t="s">
        <v>77</v>
      </c>
      <c r="C122" s="166"/>
      <c r="D122" s="165"/>
      <c r="E122" s="166"/>
      <c r="F122" s="165"/>
      <c r="G122" s="133"/>
    </row>
    <row r="123" spans="2:7" ht="12.75">
      <c r="B123" s="142" t="s">
        <v>321</v>
      </c>
      <c r="C123" s="145">
        <f>(A123*0.017)+7100</f>
        <v>7100</v>
      </c>
      <c r="D123" s="167">
        <f>'[2]Profit and Loss'!B58</f>
        <v>5920</v>
      </c>
      <c r="E123" s="145">
        <v>7100</v>
      </c>
      <c r="F123" s="165" t="e">
        <f>E123-#REF!</f>
        <v>#REF!</v>
      </c>
      <c r="G123" s="133">
        <f>E123</f>
        <v>7100</v>
      </c>
    </row>
    <row r="124" spans="2:7" ht="12.75">
      <c r="B124" s="142" t="s">
        <v>328</v>
      </c>
      <c r="C124" s="145">
        <v>500</v>
      </c>
      <c r="D124" s="167">
        <f>'[2]Profit and Loss'!B59</f>
        <v>141.76</v>
      </c>
      <c r="E124" s="145">
        <v>500</v>
      </c>
      <c r="F124" s="165" t="e">
        <f>E124-#REF!</f>
        <v>#REF!</v>
      </c>
      <c r="G124" s="133">
        <f>E124</f>
        <v>500</v>
      </c>
    </row>
    <row r="125" spans="2:7" ht="12.75">
      <c r="B125" s="142" t="s">
        <v>329</v>
      </c>
      <c r="C125" s="145"/>
      <c r="D125" s="167">
        <f>'[2]Profit and Loss'!B60</f>
        <v>868.02</v>
      </c>
      <c r="E125" s="145">
        <v>1100</v>
      </c>
      <c r="F125" s="165"/>
      <c r="G125" s="133"/>
    </row>
    <row r="126" spans="2:7" ht="12.75">
      <c r="B126" s="142" t="s">
        <v>330</v>
      </c>
      <c r="C126" s="145"/>
      <c r="D126" s="167">
        <f>'[2]Profit and Loss'!B97</f>
        <v>195.03</v>
      </c>
      <c r="E126" s="145"/>
      <c r="F126" s="165"/>
      <c r="G126" s="133"/>
    </row>
    <row r="127" spans="2:7" ht="12.75">
      <c r="B127" s="142" t="s">
        <v>82</v>
      </c>
      <c r="C127" s="145">
        <v>200</v>
      </c>
      <c r="D127" s="167"/>
      <c r="E127" s="145">
        <v>100</v>
      </c>
      <c r="F127" s="165" t="e">
        <f>E127-#REF!</f>
        <v>#REF!</v>
      </c>
      <c r="G127" s="133">
        <f>E127</f>
        <v>100</v>
      </c>
    </row>
    <row r="128" spans="2:7" ht="12.75" hidden="1">
      <c r="B128" s="142" t="s">
        <v>329</v>
      </c>
      <c r="C128" s="145"/>
      <c r="D128" s="167"/>
      <c r="E128" s="145"/>
      <c r="F128" s="165"/>
      <c r="G128" s="133">
        <f>E128</f>
        <v>0</v>
      </c>
    </row>
    <row r="129" spans="2:7" ht="12.75">
      <c r="B129" s="142" t="s">
        <v>331</v>
      </c>
      <c r="C129" s="145">
        <v>400</v>
      </c>
      <c r="D129" s="167">
        <f>'[2]Profit and Loss'!B61+'[2]Profit and Loss'!B99</f>
        <v>285.31</v>
      </c>
      <c r="E129" s="145">
        <v>300</v>
      </c>
      <c r="F129" s="165" t="e">
        <f>E129-#REF!</f>
        <v>#REF!</v>
      </c>
      <c r="G129" s="133">
        <f>E129</f>
        <v>300</v>
      </c>
    </row>
    <row r="130" spans="2:7" ht="12.75">
      <c r="B130" s="142" t="s">
        <v>332</v>
      </c>
      <c r="C130" s="145">
        <v>450</v>
      </c>
      <c r="D130" s="139"/>
      <c r="E130" s="145">
        <v>450</v>
      </c>
      <c r="F130" s="165" t="e">
        <f>E130-#REF!</f>
        <v>#REF!</v>
      </c>
      <c r="G130" s="133">
        <f>E130</f>
        <v>450</v>
      </c>
    </row>
    <row r="131" spans="2:8" ht="12.75">
      <c r="B131" s="142" t="s">
        <v>333</v>
      </c>
      <c r="C131" s="145">
        <v>1000</v>
      </c>
      <c r="D131" s="167">
        <f>'[2]Profit and Loss'!B63</f>
        <v>681.2</v>
      </c>
      <c r="E131" s="145">
        <v>1000</v>
      </c>
      <c r="F131" s="165" t="e">
        <f>E131-#REF!</f>
        <v>#REF!</v>
      </c>
      <c r="G131" s="133">
        <f>E131</f>
        <v>1000</v>
      </c>
      <c r="H131" s="146"/>
    </row>
    <row r="132" spans="3:7" ht="12.75">
      <c r="C132" s="166"/>
      <c r="D132" s="165"/>
      <c r="E132" s="166"/>
      <c r="F132" s="165"/>
      <c r="G132" s="133"/>
    </row>
    <row r="133" spans="1:7" ht="12.75">
      <c r="A133" s="115">
        <v>407</v>
      </c>
      <c r="B133" s="115" t="s">
        <v>52</v>
      </c>
      <c r="C133" s="166"/>
      <c r="D133" s="165"/>
      <c r="E133" s="166"/>
      <c r="F133" s="165"/>
      <c r="G133" s="133"/>
    </row>
    <row r="134" spans="2:7" ht="12.75">
      <c r="B134" s="142" t="s">
        <v>159</v>
      </c>
      <c r="C134" s="145">
        <v>150</v>
      </c>
      <c r="D134" s="167">
        <f>'[2]Profit and Loss'!B62</f>
        <v>479.15</v>
      </c>
      <c r="E134" s="145">
        <v>500</v>
      </c>
      <c r="F134" s="165" t="e">
        <f>E134-#REF!</f>
        <v>#REF!</v>
      </c>
      <c r="G134" s="133">
        <f>E134</f>
        <v>500</v>
      </c>
    </row>
    <row r="135" spans="2:7" ht="12.75">
      <c r="B135" s="142" t="s">
        <v>334</v>
      </c>
      <c r="C135" s="145">
        <v>100</v>
      </c>
      <c r="D135" s="167">
        <f>'[2]Profit and Loss'!B85</f>
        <v>860.16</v>
      </c>
      <c r="E135" s="145">
        <v>100</v>
      </c>
      <c r="F135" s="165" t="e">
        <f>E135-#REF!</f>
        <v>#REF!</v>
      </c>
      <c r="G135" s="133">
        <f>E135</f>
        <v>100</v>
      </c>
    </row>
    <row r="136" spans="3:7" ht="12.75">
      <c r="C136" s="166"/>
      <c r="D136" s="165"/>
      <c r="E136" s="166"/>
      <c r="F136" s="165"/>
      <c r="G136" s="133"/>
    </row>
    <row r="137" spans="1:7" ht="12.75">
      <c r="A137" s="115">
        <v>408</v>
      </c>
      <c r="B137" s="115" t="s">
        <v>335</v>
      </c>
      <c r="C137" s="166"/>
      <c r="D137" s="165"/>
      <c r="E137" s="166"/>
      <c r="F137" s="165"/>
      <c r="G137" s="133"/>
    </row>
    <row r="138" spans="2:7" ht="12.75">
      <c r="B138" s="142" t="s">
        <v>336</v>
      </c>
      <c r="C138" s="145">
        <v>5000</v>
      </c>
      <c r="D138" s="167">
        <f>'[2]Profit and Loss'!B64</f>
        <v>1005</v>
      </c>
      <c r="E138" s="145">
        <v>2000</v>
      </c>
      <c r="F138" s="165" t="e">
        <f>E138-#REF!</f>
        <v>#REF!</v>
      </c>
      <c r="G138" s="133">
        <f>E138</f>
        <v>2000</v>
      </c>
    </row>
    <row r="139" spans="2:7" ht="12.75" hidden="1">
      <c r="B139" s="142" t="s">
        <v>337</v>
      </c>
      <c r="C139" s="145"/>
      <c r="D139" s="167"/>
      <c r="E139" s="145"/>
      <c r="F139" s="165"/>
      <c r="G139" s="133"/>
    </row>
    <row r="140" spans="2:7" ht="12.75">
      <c r="B140" s="142" t="s">
        <v>338</v>
      </c>
      <c r="C140" s="145"/>
      <c r="D140" s="167">
        <f>'[2]Profit and Loss'!B66</f>
        <v>1010</v>
      </c>
      <c r="E140" s="145">
        <v>1000</v>
      </c>
      <c r="F140" s="165"/>
      <c r="G140" s="133"/>
    </row>
    <row r="141" spans="2:7" ht="12.75">
      <c r="B141" s="142" t="s">
        <v>339</v>
      </c>
      <c r="C141" s="145">
        <v>1500</v>
      </c>
      <c r="D141" s="167"/>
      <c r="E141" s="145">
        <v>500</v>
      </c>
      <c r="F141" s="165"/>
      <c r="G141" s="133"/>
    </row>
    <row r="142" spans="2:7" ht="12.75">
      <c r="B142" s="142" t="s">
        <v>340</v>
      </c>
      <c r="C142" s="145">
        <v>14500</v>
      </c>
      <c r="D142" s="167">
        <f>'[2]Profit and Loss'!B65</f>
        <v>24534</v>
      </c>
      <c r="E142" s="145">
        <v>8000</v>
      </c>
      <c r="F142" s="165" t="e">
        <f>E142-#REF!</f>
        <v>#REF!</v>
      </c>
      <c r="G142" s="133">
        <f>E142</f>
        <v>8000</v>
      </c>
    </row>
    <row r="143" spans="2:7" ht="12.75" hidden="1">
      <c r="B143" s="142" t="s">
        <v>338</v>
      </c>
      <c r="C143" s="145"/>
      <c r="D143" s="167"/>
      <c r="E143" s="145"/>
      <c r="F143" s="165"/>
      <c r="G143" s="133"/>
    </row>
    <row r="144" spans="3:7" ht="12.75">
      <c r="C144" s="166"/>
      <c r="D144" s="165"/>
      <c r="E144" s="166"/>
      <c r="F144" s="165"/>
      <c r="G144" s="133"/>
    </row>
    <row r="145" spans="1:7" ht="12.75">
      <c r="A145" s="115">
        <v>409</v>
      </c>
      <c r="B145" s="115" t="s">
        <v>93</v>
      </c>
      <c r="C145" s="166"/>
      <c r="D145" s="165"/>
      <c r="E145" s="166"/>
      <c r="F145" s="165"/>
      <c r="G145" s="133"/>
    </row>
    <row r="146" spans="2:7" ht="12.75">
      <c r="B146" s="142" t="s">
        <v>341</v>
      </c>
      <c r="C146" s="145">
        <v>100</v>
      </c>
      <c r="D146" s="167"/>
      <c r="E146" s="145">
        <v>100</v>
      </c>
      <c r="F146" s="165" t="e">
        <f aca="true" t="shared" si="3" ref="F146:F152">E146-#REF!</f>
        <v>#REF!</v>
      </c>
      <c r="G146" s="133">
        <f aca="true" t="shared" si="4" ref="G146:G152">E146</f>
        <v>100</v>
      </c>
    </row>
    <row r="147" spans="2:7" ht="12.75">
      <c r="B147" s="142" t="s">
        <v>342</v>
      </c>
      <c r="C147" s="145">
        <v>750</v>
      </c>
      <c r="D147" s="167">
        <f>'[2]Profit and Loss'!B67</f>
        <v>553.22</v>
      </c>
      <c r="E147" s="145">
        <v>650</v>
      </c>
      <c r="F147" s="165" t="e">
        <f t="shared" si="3"/>
        <v>#REF!</v>
      </c>
      <c r="G147" s="133">
        <f t="shared" si="4"/>
        <v>650</v>
      </c>
    </row>
    <row r="148" spans="2:7" ht="12.75">
      <c r="B148" s="136" t="s">
        <v>343</v>
      </c>
      <c r="C148" s="145">
        <v>500</v>
      </c>
      <c r="D148" s="167">
        <f>'[2]Profit and Loss'!B68+'[2]Profit and Loss'!B49</f>
        <v>358.6</v>
      </c>
      <c r="E148" s="145">
        <v>500</v>
      </c>
      <c r="F148" s="165" t="e">
        <f t="shared" si="3"/>
        <v>#REF!</v>
      </c>
      <c r="G148" s="133">
        <f t="shared" si="4"/>
        <v>500</v>
      </c>
    </row>
    <row r="149" spans="2:7" ht="12.75">
      <c r="B149" s="142" t="s">
        <v>344</v>
      </c>
      <c r="C149" s="145">
        <v>500</v>
      </c>
      <c r="D149" s="167">
        <f>'[2]Profit and Loss'!B69</f>
        <v>428.4</v>
      </c>
      <c r="E149" s="145">
        <v>500</v>
      </c>
      <c r="F149" s="165" t="e">
        <f t="shared" si="3"/>
        <v>#REF!</v>
      </c>
      <c r="G149" s="133">
        <f t="shared" si="4"/>
        <v>500</v>
      </c>
    </row>
    <row r="150" spans="2:7" ht="12.75">
      <c r="B150" s="142" t="s">
        <v>345</v>
      </c>
      <c r="C150" s="145">
        <v>100</v>
      </c>
      <c r="D150" s="167">
        <f>'[2]Profit and Loss'!B71</f>
        <v>740.66</v>
      </c>
      <c r="E150" s="145">
        <v>100</v>
      </c>
      <c r="F150" s="165" t="e">
        <f t="shared" si="3"/>
        <v>#REF!</v>
      </c>
      <c r="G150" s="133">
        <f t="shared" si="4"/>
        <v>100</v>
      </c>
    </row>
    <row r="151" spans="2:7" ht="12.75">
      <c r="B151" s="142" t="s">
        <v>346</v>
      </c>
      <c r="C151" s="145">
        <v>2000</v>
      </c>
      <c r="D151" s="167">
        <f>'[2]Profit and Loss'!B70</f>
        <v>435.41</v>
      </c>
      <c r="E151" s="145">
        <v>1500</v>
      </c>
      <c r="F151" s="165" t="e">
        <f t="shared" si="3"/>
        <v>#REF!</v>
      </c>
      <c r="G151" s="133">
        <f t="shared" si="4"/>
        <v>1500</v>
      </c>
    </row>
    <row r="152" spans="2:7" ht="12.75">
      <c r="B152" s="142" t="s">
        <v>347</v>
      </c>
      <c r="C152" s="145">
        <v>1100</v>
      </c>
      <c r="D152" s="167"/>
      <c r="E152" s="145">
        <v>1000</v>
      </c>
      <c r="F152" s="165" t="e">
        <f t="shared" si="3"/>
        <v>#REF!</v>
      </c>
      <c r="G152" s="133">
        <f t="shared" si="4"/>
        <v>1000</v>
      </c>
    </row>
    <row r="153" spans="2:7" ht="12.75">
      <c r="B153" s="115"/>
      <c r="C153" s="166"/>
      <c r="D153" s="165"/>
      <c r="E153" s="166"/>
      <c r="F153" s="165"/>
      <c r="G153" s="133"/>
    </row>
    <row r="154" spans="3:7" ht="12.75">
      <c r="C154" s="166"/>
      <c r="D154" s="165"/>
      <c r="E154" s="166"/>
      <c r="F154" s="165"/>
      <c r="G154" s="133"/>
    </row>
    <row r="155" spans="1:7" ht="12.75">
      <c r="A155" s="115">
        <v>411</v>
      </c>
      <c r="B155" s="115" t="s">
        <v>348</v>
      </c>
      <c r="C155" s="166"/>
      <c r="D155" s="165"/>
      <c r="E155" s="166"/>
      <c r="F155" s="165"/>
      <c r="G155" s="133"/>
    </row>
    <row r="156" spans="2:7" ht="12.75">
      <c r="B156" s="142" t="s">
        <v>349</v>
      </c>
      <c r="C156" s="145">
        <f>98.44*12</f>
        <v>1181.28</v>
      </c>
      <c r="D156" s="167">
        <f>'[2]Profit and Loss'!B93</f>
        <v>885.96</v>
      </c>
      <c r="E156" s="145">
        <f>98.44*12</f>
        <v>1181.28</v>
      </c>
      <c r="F156" s="165" t="e">
        <f>E156-#REF!</f>
        <v>#REF!</v>
      </c>
      <c r="G156" s="133">
        <f>E156</f>
        <v>1181.28</v>
      </c>
    </row>
    <row r="157" spans="2:7" ht="12.75">
      <c r="B157" s="142" t="s">
        <v>350</v>
      </c>
      <c r="C157" s="168">
        <v>9000</v>
      </c>
      <c r="D157" s="167">
        <f>'[2]Profit and Loss'!B92-'2016 Budget Worksheet'!D158</f>
        <v>6930</v>
      </c>
      <c r="E157" s="168">
        <v>9000</v>
      </c>
      <c r="F157" s="165" t="e">
        <f>E157-#REF!</f>
        <v>#REF!</v>
      </c>
      <c r="G157" s="133">
        <f>E157</f>
        <v>9000</v>
      </c>
    </row>
    <row r="158" spans="2:7" ht="12.75">
      <c r="B158" s="142" t="s">
        <v>351</v>
      </c>
      <c r="C158" s="168">
        <v>5800</v>
      </c>
      <c r="D158" s="167">
        <v>5858</v>
      </c>
      <c r="E158" s="168">
        <v>5900</v>
      </c>
      <c r="F158" s="165"/>
      <c r="G158" s="133"/>
    </row>
    <row r="159" spans="2:7" ht="12.75">
      <c r="B159" s="142" t="s">
        <v>352</v>
      </c>
      <c r="C159" s="169">
        <f>C87</f>
        <v>2838</v>
      </c>
      <c r="D159" s="167">
        <f>'[2]Profit and Loss'!B72</f>
        <v>2744.69</v>
      </c>
      <c r="E159" s="169">
        <f>E87</f>
        <v>2745</v>
      </c>
      <c r="F159" s="165" t="e">
        <f>E159-#REF!</f>
        <v>#REF!</v>
      </c>
      <c r="G159" s="133">
        <f>E159</f>
        <v>2745</v>
      </c>
    </row>
    <row r="160" spans="3:7" ht="12.75">
      <c r="C160" s="166"/>
      <c r="D160" s="165"/>
      <c r="E160" s="166"/>
      <c r="F160" s="165"/>
      <c r="G160" s="133"/>
    </row>
    <row r="161" spans="1:7" ht="12.75">
      <c r="A161" s="115">
        <v>414</v>
      </c>
      <c r="B161" s="115" t="s">
        <v>353</v>
      </c>
      <c r="C161" s="166"/>
      <c r="D161" s="135"/>
      <c r="E161" s="166"/>
      <c r="F161" s="165"/>
      <c r="G161" s="133"/>
    </row>
    <row r="162" spans="2:7" ht="12.75">
      <c r="B162" s="136" t="s">
        <v>354</v>
      </c>
      <c r="C162" s="145">
        <v>3000</v>
      </c>
      <c r="D162" s="170"/>
      <c r="E162" s="145">
        <v>500</v>
      </c>
      <c r="F162" s="165" t="e">
        <f>E162-#REF!</f>
        <v>#REF!</v>
      </c>
      <c r="G162" s="133">
        <f>E162</f>
        <v>500</v>
      </c>
    </row>
    <row r="163" spans="2:7" ht="12.75">
      <c r="B163" s="142" t="s">
        <v>355</v>
      </c>
      <c r="C163" s="145">
        <v>1500</v>
      </c>
      <c r="D163" s="170"/>
      <c r="E163" s="145">
        <v>500</v>
      </c>
      <c r="F163" s="165" t="e">
        <f>E163-#REF!</f>
        <v>#REF!</v>
      </c>
      <c r="G163" s="133">
        <f>E163</f>
        <v>500</v>
      </c>
    </row>
    <row r="164" spans="2:7" ht="12.75">
      <c r="B164" s="142" t="s">
        <v>356</v>
      </c>
      <c r="C164" s="145">
        <v>3000</v>
      </c>
      <c r="D164" s="170">
        <f>'[2]Profit and Loss'!B53</f>
        <v>1000</v>
      </c>
      <c r="E164" s="145">
        <v>1500</v>
      </c>
      <c r="F164" s="165"/>
      <c r="G164" s="133"/>
    </row>
    <row r="165" spans="2:7" ht="12.75" hidden="1">
      <c r="B165" s="142" t="s">
        <v>357</v>
      </c>
      <c r="C165" s="145"/>
      <c r="D165" s="170"/>
      <c r="E165" s="145"/>
      <c r="F165" s="165" t="e">
        <f>E165-#REF!</f>
        <v>#REF!</v>
      </c>
      <c r="G165" s="133">
        <f>E165</f>
        <v>0</v>
      </c>
    </row>
    <row r="166" spans="2:7" ht="12.75">
      <c r="B166" s="142" t="s">
        <v>114</v>
      </c>
      <c r="C166" s="145">
        <v>1000</v>
      </c>
      <c r="D166" s="170">
        <f>'[2]Profit and Loss'!B51</f>
        <v>3090.5</v>
      </c>
      <c r="E166" s="145">
        <v>1000</v>
      </c>
      <c r="F166" s="165" t="e">
        <f>E166-#REF!</f>
        <v>#REF!</v>
      </c>
      <c r="G166" s="133">
        <f>E166</f>
        <v>1000</v>
      </c>
    </row>
    <row r="167" spans="3:8" ht="12.75">
      <c r="C167" s="166"/>
      <c r="D167" s="135"/>
      <c r="E167" s="166"/>
      <c r="F167" s="171"/>
      <c r="H167" s="172"/>
    </row>
    <row r="168" spans="1:6" ht="12.75">
      <c r="A168" s="115">
        <v>426</v>
      </c>
      <c r="B168" s="115" t="s">
        <v>116</v>
      </c>
      <c r="C168" s="166"/>
      <c r="D168" s="135"/>
      <c r="E168" s="166"/>
      <c r="F168" s="171"/>
    </row>
    <row r="169" spans="2:7" ht="12.75">
      <c r="B169" s="136" t="s">
        <v>358</v>
      </c>
      <c r="C169" s="145">
        <f>223471/5</f>
        <v>44694.2</v>
      </c>
      <c r="D169" s="170">
        <f>'[2]Profit and Loss'!B95+'[2]Profit and Loss'!B96</f>
        <v>33185.87</v>
      </c>
      <c r="E169" s="145">
        <v>44797</v>
      </c>
      <c r="F169" s="165" t="e">
        <f>E169-#REF!</f>
        <v>#REF!</v>
      </c>
      <c r="G169" s="133">
        <f>E169</f>
        <v>44797</v>
      </c>
    </row>
    <row r="170" spans="2:7" ht="12.75">
      <c r="B170" s="136" t="s">
        <v>359</v>
      </c>
      <c r="C170" s="145">
        <f>C71*0.15</f>
        <v>6750</v>
      </c>
      <c r="D170" s="170"/>
      <c r="E170" s="145">
        <v>5000</v>
      </c>
      <c r="F170" s="165" t="e">
        <f>E170-#REF!</f>
        <v>#REF!</v>
      </c>
      <c r="G170" s="133">
        <f>E170</f>
        <v>5000</v>
      </c>
    </row>
    <row r="171" spans="2:7" ht="12.75">
      <c r="B171" s="136" t="s">
        <v>121</v>
      </c>
      <c r="C171" s="145">
        <v>500</v>
      </c>
      <c r="D171" s="170"/>
      <c r="E171" s="145">
        <v>500</v>
      </c>
      <c r="F171" s="165" t="e">
        <f>E171-#REF!</f>
        <v>#REF!</v>
      </c>
      <c r="G171" s="133">
        <f>E171</f>
        <v>500</v>
      </c>
    </row>
    <row r="172" spans="2:7" ht="12.75">
      <c r="B172" s="136" t="s">
        <v>360</v>
      </c>
      <c r="C172" s="145"/>
      <c r="D172" s="170"/>
      <c r="E172" s="145">
        <f>500</f>
        <v>500</v>
      </c>
      <c r="F172" s="165"/>
      <c r="G172" s="133"/>
    </row>
    <row r="173" spans="2:7" ht="12.75">
      <c r="B173" s="136" t="s">
        <v>361</v>
      </c>
      <c r="C173" s="173"/>
      <c r="D173" s="170">
        <f>'[2]Profit and Loss'!B94</f>
        <v>-35.36</v>
      </c>
      <c r="E173" s="173"/>
      <c r="F173" s="165"/>
      <c r="G173" s="133">
        <f>E173</f>
        <v>0</v>
      </c>
    </row>
    <row r="174" spans="2:6" ht="12.75">
      <c r="B174" s="115"/>
      <c r="C174" s="166"/>
      <c r="D174" s="135"/>
      <c r="E174" s="166"/>
      <c r="F174" s="165"/>
    </row>
    <row r="175" spans="3:6" ht="12.75">
      <c r="C175" s="166"/>
      <c r="D175" s="135"/>
      <c r="E175" s="166"/>
      <c r="F175" s="171"/>
    </row>
    <row r="176" spans="1:6" ht="12.75">
      <c r="A176" s="115">
        <v>430</v>
      </c>
      <c r="B176" s="115" t="s">
        <v>122</v>
      </c>
      <c r="C176" s="166"/>
      <c r="D176" s="135"/>
      <c r="E176" s="166"/>
      <c r="F176" s="171"/>
    </row>
    <row r="177" spans="2:7" ht="12.75">
      <c r="B177" s="142" t="s">
        <v>362</v>
      </c>
      <c r="C177" s="145">
        <v>15000</v>
      </c>
      <c r="D177" s="170">
        <f>'[2]Profit and Loss'!B74</f>
        <v>11640</v>
      </c>
      <c r="E177" s="145">
        <v>15000</v>
      </c>
      <c r="F177" s="165" t="e">
        <f>E177-#REF!</f>
        <v>#REF!</v>
      </c>
      <c r="G177" s="133">
        <f>E177</f>
        <v>15000</v>
      </c>
    </row>
    <row r="178" spans="2:7" ht="12.75">
      <c r="B178" s="142" t="s">
        <v>363</v>
      </c>
      <c r="C178" s="145">
        <v>1000</v>
      </c>
      <c r="D178" s="170">
        <f>'[2]Profit and Loss'!B77</f>
        <v>1078.18</v>
      </c>
      <c r="E178" s="145">
        <v>1000</v>
      </c>
      <c r="F178" s="165" t="e">
        <f>E178-#REF!</f>
        <v>#REF!</v>
      </c>
      <c r="G178" s="133">
        <f>E178</f>
        <v>1000</v>
      </c>
    </row>
    <row r="179" spans="2:7" ht="12.75">
      <c r="B179" s="142" t="s">
        <v>364</v>
      </c>
      <c r="C179" s="145">
        <v>1000</v>
      </c>
      <c r="D179" s="170">
        <f>'[2]Profit and Loss'!B75+'[2]Profit and Loss'!B78</f>
        <v>286.63</v>
      </c>
      <c r="E179" s="145">
        <v>1000</v>
      </c>
      <c r="F179" s="165" t="e">
        <f>E179-#REF!</f>
        <v>#REF!</v>
      </c>
      <c r="G179" s="133">
        <f>E179</f>
        <v>1000</v>
      </c>
    </row>
    <row r="180" spans="2:7" ht="12.75">
      <c r="B180" s="142" t="s">
        <v>365</v>
      </c>
      <c r="C180" s="145"/>
      <c r="D180" s="170"/>
      <c r="E180" s="145"/>
      <c r="F180" s="165"/>
      <c r="G180" s="133"/>
    </row>
    <row r="181" spans="2:8" ht="12.75">
      <c r="B181" s="142" t="s">
        <v>366</v>
      </c>
      <c r="C181" s="145">
        <v>3000</v>
      </c>
      <c r="D181" s="170">
        <f>'[2]Profit and Loss'!B76</f>
        <v>1483.51</v>
      </c>
      <c r="E181" s="145">
        <v>3000</v>
      </c>
      <c r="F181" s="165" t="e">
        <f aca="true" t="shared" si="5" ref="F181:F186">E181-#REF!</f>
        <v>#REF!</v>
      </c>
      <c r="G181" s="133">
        <f aca="true" t="shared" si="6" ref="G181:G186">E181</f>
        <v>3000</v>
      </c>
      <c r="H181" s="172"/>
    </row>
    <row r="182" spans="2:8" ht="12.75">
      <c r="B182" s="142" t="s">
        <v>367</v>
      </c>
      <c r="C182" s="145"/>
      <c r="D182" s="170"/>
      <c r="E182" s="145"/>
      <c r="F182" s="165" t="e">
        <f t="shared" si="5"/>
        <v>#REF!</v>
      </c>
      <c r="G182" s="133">
        <f t="shared" si="6"/>
        <v>0</v>
      </c>
      <c r="H182" s="172"/>
    </row>
    <row r="183" spans="2:7" ht="12.75">
      <c r="B183" s="142" t="s">
        <v>368</v>
      </c>
      <c r="C183" s="145">
        <v>2000</v>
      </c>
      <c r="D183" s="170"/>
      <c r="E183" s="145">
        <v>2000</v>
      </c>
      <c r="F183" s="165" t="e">
        <f t="shared" si="5"/>
        <v>#REF!</v>
      </c>
      <c r="G183" s="133">
        <f t="shared" si="6"/>
        <v>2000</v>
      </c>
    </row>
    <row r="184" spans="2:7" ht="12.75">
      <c r="B184" s="142" t="s">
        <v>369</v>
      </c>
      <c r="C184" s="145">
        <v>3500</v>
      </c>
      <c r="D184" s="170">
        <f>'[2]Profit and Loss'!B79</f>
        <v>1221.77</v>
      </c>
      <c r="E184" s="145">
        <v>3000</v>
      </c>
      <c r="F184" s="165" t="e">
        <f t="shared" si="5"/>
        <v>#REF!</v>
      </c>
      <c r="G184" s="133">
        <f t="shared" si="6"/>
        <v>3000</v>
      </c>
    </row>
    <row r="185" spans="2:8" ht="12.75">
      <c r="B185" s="142" t="s">
        <v>370</v>
      </c>
      <c r="C185" s="173">
        <v>0</v>
      </c>
      <c r="D185" s="170"/>
      <c r="E185" s="173">
        <v>0</v>
      </c>
      <c r="F185" s="165" t="e">
        <f t="shared" si="5"/>
        <v>#REF!</v>
      </c>
      <c r="G185" s="133">
        <f t="shared" si="6"/>
        <v>0</v>
      </c>
      <c r="H185" s="172"/>
    </row>
    <row r="186" spans="2:7" ht="12.75">
      <c r="B186" s="142" t="s">
        <v>371</v>
      </c>
      <c r="C186" s="145">
        <v>1000</v>
      </c>
      <c r="D186" s="170"/>
      <c r="E186" s="145">
        <v>1000</v>
      </c>
      <c r="F186" s="174" t="e">
        <f t="shared" si="5"/>
        <v>#REF!</v>
      </c>
      <c r="G186" s="133">
        <f t="shared" si="6"/>
        <v>1000</v>
      </c>
    </row>
    <row r="187" spans="3:6" ht="12.75">
      <c r="C187" s="166"/>
      <c r="D187" s="135"/>
      <c r="E187" s="166"/>
      <c r="F187" s="171"/>
    </row>
    <row r="188" spans="1:7" ht="12.75">
      <c r="A188" s="115">
        <v>434</v>
      </c>
      <c r="B188" s="141" t="s">
        <v>134</v>
      </c>
      <c r="C188" s="145">
        <f>747*12</f>
        <v>8964</v>
      </c>
      <c r="D188" s="170">
        <f>'[2]Profit and Loss'!B80</f>
        <v>6925.77</v>
      </c>
      <c r="E188" s="145">
        <f>747*12</f>
        <v>8964</v>
      </c>
      <c r="F188" s="165" t="e">
        <f>E188-#REF!</f>
        <v>#REF!</v>
      </c>
      <c r="G188" s="133">
        <f>E188</f>
        <v>8964</v>
      </c>
    </row>
    <row r="189" spans="2:6" ht="12.75">
      <c r="B189" s="115"/>
      <c r="C189" s="166"/>
      <c r="D189" s="135"/>
      <c r="E189" s="166"/>
      <c r="F189" s="165"/>
    </row>
    <row r="190" spans="1:6" ht="12.75">
      <c r="A190" s="115">
        <v>442</v>
      </c>
      <c r="B190" s="115" t="s">
        <v>372</v>
      </c>
      <c r="C190" s="166"/>
      <c r="D190" s="135"/>
      <c r="E190" s="166"/>
      <c r="F190" s="171"/>
    </row>
    <row r="191" spans="2:7" ht="12.75">
      <c r="B191" s="142" t="s">
        <v>373</v>
      </c>
      <c r="C191" s="145">
        <v>55356</v>
      </c>
      <c r="D191" s="170">
        <f>'[2]Profit and Loss'!B86</f>
        <v>43944.98</v>
      </c>
      <c r="E191" s="145">
        <v>55356</v>
      </c>
      <c r="F191" s="165" t="e">
        <f>E191-#REF!</f>
        <v>#REF!</v>
      </c>
      <c r="G191" s="133">
        <f>E191</f>
        <v>55356</v>
      </c>
    </row>
    <row r="192" spans="2:7" ht="12.75">
      <c r="B192" s="142" t="s">
        <v>374</v>
      </c>
      <c r="C192" s="173"/>
      <c r="D192" s="170">
        <f>'[2]Profit and Loss'!B87</f>
        <v>12109.24</v>
      </c>
      <c r="E192" s="173"/>
      <c r="F192" s="165" t="e">
        <f>E192-#REF!</f>
        <v>#REF!</v>
      </c>
      <c r="G192" s="133">
        <f>E192</f>
        <v>0</v>
      </c>
    </row>
    <row r="193" spans="3:6" ht="12.75">
      <c r="C193" s="166"/>
      <c r="D193" s="135"/>
      <c r="E193" s="166"/>
      <c r="F193" s="171"/>
    </row>
    <row r="194" spans="1:8" ht="12.75">
      <c r="A194" s="115">
        <v>450</v>
      </c>
      <c r="B194" s="115" t="s">
        <v>375</v>
      </c>
      <c r="C194" s="166"/>
      <c r="D194" s="135"/>
      <c r="E194" s="166"/>
      <c r="F194" s="171"/>
      <c r="H194" s="172"/>
    </row>
    <row r="195" spans="2:7" ht="12.75">
      <c r="B195" s="136" t="s">
        <v>376</v>
      </c>
      <c r="C195" s="145">
        <v>500</v>
      </c>
      <c r="D195" s="170"/>
      <c r="E195" s="145">
        <v>500</v>
      </c>
      <c r="F195" s="165" t="e">
        <f>E195-#REF!</f>
        <v>#REF!</v>
      </c>
      <c r="G195" s="133">
        <f>E195</f>
        <v>500</v>
      </c>
    </row>
    <row r="196" spans="2:7" ht="12.75">
      <c r="B196" s="136" t="s">
        <v>377</v>
      </c>
      <c r="C196" s="145">
        <v>100</v>
      </c>
      <c r="D196" s="170"/>
      <c r="E196" s="145">
        <v>100</v>
      </c>
      <c r="F196" s="165" t="e">
        <f>E196-#REF!</f>
        <v>#REF!</v>
      </c>
      <c r="G196" s="133">
        <f>E196</f>
        <v>100</v>
      </c>
    </row>
    <row r="197" spans="2:7" ht="12.75">
      <c r="B197" s="136" t="s">
        <v>145</v>
      </c>
      <c r="C197" s="145">
        <v>2000</v>
      </c>
      <c r="D197" s="175">
        <f>'[2]Profit and Loss'!B73</f>
        <v>1665</v>
      </c>
      <c r="E197" s="145">
        <v>2000</v>
      </c>
      <c r="F197" s="165" t="e">
        <f>E197-#REF!</f>
        <v>#REF!</v>
      </c>
      <c r="G197" s="133">
        <f>E197</f>
        <v>2000</v>
      </c>
    </row>
    <row r="198" spans="3:6" ht="12.75">
      <c r="C198" s="166"/>
      <c r="D198" s="135"/>
      <c r="E198" s="166"/>
      <c r="F198" s="171"/>
    </row>
    <row r="199" spans="1:6" ht="12.75">
      <c r="A199" s="115">
        <v>453</v>
      </c>
      <c r="B199" s="115" t="s">
        <v>378</v>
      </c>
      <c r="C199" s="166"/>
      <c r="D199" s="135"/>
      <c r="E199" s="166"/>
      <c r="F199" s="171"/>
    </row>
    <row r="200" spans="2:7" ht="12.75">
      <c r="B200" s="142" t="s">
        <v>379</v>
      </c>
      <c r="C200" s="145">
        <v>100</v>
      </c>
      <c r="D200" s="170">
        <f>'[2]Profit and Loss'!B84</f>
        <v>100</v>
      </c>
      <c r="E200" s="145">
        <v>100</v>
      </c>
      <c r="F200" s="165" t="e">
        <f>E200-#REF!</f>
        <v>#REF!</v>
      </c>
      <c r="G200" s="133">
        <f>E200</f>
        <v>100</v>
      </c>
    </row>
    <row r="201" spans="2:7" ht="12.75">
      <c r="B201" s="136" t="s">
        <v>380</v>
      </c>
      <c r="C201" s="145">
        <v>100</v>
      </c>
      <c r="D201" s="170">
        <f>'[2]Profit and Loss'!B82</f>
        <v>100</v>
      </c>
      <c r="E201" s="145">
        <v>100</v>
      </c>
      <c r="F201" s="165" t="e">
        <f>E201-#REF!</f>
        <v>#REF!</v>
      </c>
      <c r="G201" s="133">
        <f>E201</f>
        <v>100</v>
      </c>
    </row>
    <row r="202" spans="2:7" ht="12.75">
      <c r="B202" s="136" t="s">
        <v>381</v>
      </c>
      <c r="C202" s="145">
        <v>100</v>
      </c>
      <c r="D202" s="170"/>
      <c r="E202" s="145">
        <v>100</v>
      </c>
      <c r="F202" s="165" t="e">
        <f>E202-#REF!</f>
        <v>#REF!</v>
      </c>
      <c r="G202" s="133">
        <f>E202</f>
        <v>100</v>
      </c>
    </row>
    <row r="203" spans="2:7" ht="12.75">
      <c r="B203" s="136" t="s">
        <v>382</v>
      </c>
      <c r="C203" s="145">
        <v>100</v>
      </c>
      <c r="D203" s="170">
        <f>'[2]Profit and Loss'!B83</f>
        <v>100</v>
      </c>
      <c r="E203" s="145">
        <v>100</v>
      </c>
      <c r="F203" s="165"/>
      <c r="G203" s="133">
        <f>E203</f>
        <v>100</v>
      </c>
    </row>
    <row r="204" spans="2:7" ht="12.75">
      <c r="B204" s="136" t="s">
        <v>383</v>
      </c>
      <c r="C204" s="145">
        <v>65</v>
      </c>
      <c r="D204" s="170">
        <f>'[2]Profit and Loss'!B81</f>
        <v>70</v>
      </c>
      <c r="E204" s="145">
        <v>65</v>
      </c>
      <c r="F204" s="165" t="e">
        <f>E204-#REF!</f>
        <v>#REF!</v>
      </c>
      <c r="G204" s="133">
        <f>E204</f>
        <v>65</v>
      </c>
    </row>
    <row r="205" spans="3:6" ht="12.75">
      <c r="C205" s="166"/>
      <c r="D205" s="135"/>
      <c r="E205" s="166"/>
      <c r="F205" s="171"/>
    </row>
    <row r="206" spans="3:6" ht="12.75">
      <c r="C206" s="166"/>
      <c r="D206" s="135"/>
      <c r="E206" s="166"/>
      <c r="F206" s="171"/>
    </row>
    <row r="207" spans="1:6" ht="12.75">
      <c r="A207" s="176" t="s">
        <v>160</v>
      </c>
      <c r="B207" s="115" t="s">
        <v>161</v>
      </c>
      <c r="C207" s="166"/>
      <c r="D207" s="135"/>
      <c r="E207" s="166"/>
      <c r="F207" s="171"/>
    </row>
    <row r="208" spans="2:7" ht="12.75">
      <c r="B208" s="142" t="s">
        <v>384</v>
      </c>
      <c r="C208" s="168">
        <f>(C101+C107+C113+C123+C162+C177)*0.0765</f>
        <v>2608.65</v>
      </c>
      <c r="D208" s="170">
        <f>'[2]Profit and Loss'!B88</f>
        <v>1915.72</v>
      </c>
      <c r="E208" s="168">
        <f>(E101+E107+E113+E123+E162+E177)*0.0765</f>
        <v>2417.4</v>
      </c>
      <c r="F208" s="165" t="e">
        <f>E208-#REF!</f>
        <v>#REF!</v>
      </c>
      <c r="G208" s="133">
        <f>E208</f>
        <v>2417.4</v>
      </c>
    </row>
    <row r="209" spans="2:7" ht="12.75">
      <c r="B209" s="142" t="s">
        <v>385</v>
      </c>
      <c r="C209" s="145">
        <v>48</v>
      </c>
      <c r="D209" s="170"/>
      <c r="E209" s="145">
        <v>48</v>
      </c>
      <c r="F209" s="165" t="e">
        <f>E209-#REF!</f>
        <v>#REF!</v>
      </c>
      <c r="G209" s="133">
        <f>E209</f>
        <v>48</v>
      </c>
    </row>
    <row r="210" spans="3:6" ht="12.75">
      <c r="C210" s="166"/>
      <c r="D210" s="135"/>
      <c r="E210" s="166"/>
      <c r="F210" s="171"/>
    </row>
    <row r="211" spans="3:6" ht="12.75">
      <c r="C211" s="166"/>
      <c r="D211" s="135"/>
      <c r="E211" s="166"/>
      <c r="F211" s="171"/>
    </row>
    <row r="212" spans="1:8" ht="12.75">
      <c r="A212" s="115">
        <v>484</v>
      </c>
      <c r="B212" s="115" t="s">
        <v>140</v>
      </c>
      <c r="C212" s="166"/>
      <c r="D212" s="135"/>
      <c r="E212" s="166"/>
      <c r="F212" s="171"/>
      <c r="H212" s="172"/>
    </row>
    <row r="213" spans="2:7" ht="12.75">
      <c r="B213" s="142" t="s">
        <v>386</v>
      </c>
      <c r="C213" s="145">
        <v>3500</v>
      </c>
      <c r="D213" s="170">
        <f>'[2]Profit and Loss'!B91</f>
        <v>3364</v>
      </c>
      <c r="E213" s="145">
        <v>3500</v>
      </c>
      <c r="F213" s="165" t="e">
        <f>E213-#REF!</f>
        <v>#REF!</v>
      </c>
      <c r="G213" s="133">
        <f>E213</f>
        <v>3500</v>
      </c>
    </row>
    <row r="214" spans="2:7" ht="12.75">
      <c r="B214" s="142" t="s">
        <v>387</v>
      </c>
      <c r="C214" s="145">
        <v>1510</v>
      </c>
      <c r="D214" s="170">
        <f>'[2]Profit and Loss'!B90</f>
        <v>1908</v>
      </c>
      <c r="E214" s="145">
        <v>1950</v>
      </c>
      <c r="F214" s="165" t="e">
        <f>E214-#REF!</f>
        <v>#REF!</v>
      </c>
      <c r="G214" s="133">
        <f>E214</f>
        <v>1950</v>
      </c>
    </row>
    <row r="215" spans="2:7" ht="12.75">
      <c r="B215" s="142" t="s">
        <v>388</v>
      </c>
      <c r="C215" s="145">
        <f>8200-C158</f>
        <v>2400</v>
      </c>
      <c r="D215" s="170">
        <f>'[2]Profit and Loss'!B89</f>
        <v>3117</v>
      </c>
      <c r="E215" s="145">
        <v>3210</v>
      </c>
      <c r="F215" s="165" t="e">
        <f>E215-#REF!</f>
        <v>#REF!</v>
      </c>
      <c r="G215" s="133">
        <f>E215</f>
        <v>3210</v>
      </c>
    </row>
    <row r="216" spans="2:7" ht="12.75">
      <c r="B216" s="115"/>
      <c r="C216" s="166"/>
      <c r="D216" s="135"/>
      <c r="E216" s="166"/>
      <c r="F216" s="177"/>
      <c r="G216" s="178"/>
    </row>
    <row r="217" spans="3:6" ht="12.75">
      <c r="C217" s="166"/>
      <c r="D217" s="135"/>
      <c r="E217" s="166"/>
      <c r="F217" s="177"/>
    </row>
    <row r="218" spans="1:6" ht="12.75">
      <c r="A218" s="115">
        <v>455</v>
      </c>
      <c r="B218" s="115" t="s">
        <v>156</v>
      </c>
      <c r="C218" s="166"/>
      <c r="D218" s="135"/>
      <c r="E218" s="166"/>
      <c r="F218" s="171"/>
    </row>
    <row r="219" spans="2:8" ht="12.75">
      <c r="B219" s="142" t="s">
        <v>389</v>
      </c>
      <c r="C219" s="145">
        <v>1000</v>
      </c>
      <c r="D219" s="170"/>
      <c r="E219" s="145">
        <v>0</v>
      </c>
      <c r="F219" s="165" t="e">
        <f>E219-#REF!</f>
        <v>#REF!</v>
      </c>
      <c r="G219" s="133">
        <f>E219</f>
        <v>0</v>
      </c>
      <c r="H219" s="114" t="s">
        <v>390</v>
      </c>
    </row>
    <row r="220" spans="2:7" ht="12.75">
      <c r="B220" s="142" t="s">
        <v>391</v>
      </c>
      <c r="C220" s="145"/>
      <c r="D220" s="170"/>
      <c r="E220" s="145">
        <f>E85</f>
        <v>21489</v>
      </c>
      <c r="F220" s="165"/>
      <c r="G220" s="133"/>
    </row>
    <row r="221" spans="2:7" ht="12.75">
      <c r="B221" s="142" t="s">
        <v>392</v>
      </c>
      <c r="C221" s="145"/>
      <c r="D221" s="170">
        <v>6555</v>
      </c>
      <c r="E221" s="145"/>
      <c r="F221" s="165"/>
      <c r="G221" s="133"/>
    </row>
    <row r="222" spans="2:8" ht="12.75">
      <c r="B222" s="142" t="s">
        <v>393</v>
      </c>
      <c r="C222" s="145">
        <f>5000</f>
        <v>5000</v>
      </c>
      <c r="D222" s="170">
        <f>'[2]Profit and Loss'!B98-'2016 Budget Worksheet'!D221</f>
        <v>9894.64</v>
      </c>
      <c r="E222" s="145"/>
      <c r="F222" s="165" t="e">
        <f>E222-#REF!</f>
        <v>#REF!</v>
      </c>
      <c r="G222" s="133">
        <f>E222</f>
        <v>0</v>
      </c>
      <c r="H222" s="114" t="s">
        <v>390</v>
      </c>
    </row>
    <row r="223" spans="2:8" ht="12.75">
      <c r="B223" s="142" t="s">
        <v>394</v>
      </c>
      <c r="C223" s="145">
        <f>18000-C219-C222+296</f>
        <v>12296</v>
      </c>
      <c r="D223" s="170"/>
      <c r="E223" s="145"/>
      <c r="F223" s="165" t="e">
        <f>E223-#REF!</f>
        <v>#REF!</v>
      </c>
      <c r="G223" s="133">
        <f>E223</f>
        <v>0</v>
      </c>
      <c r="H223" s="114" t="s">
        <v>390</v>
      </c>
    </row>
    <row r="224" spans="3:7" ht="12.75">
      <c r="C224" s="166"/>
      <c r="D224" s="135"/>
      <c r="E224" s="166"/>
      <c r="F224" s="171"/>
      <c r="G224" s="178">
        <f>E224</f>
        <v>0</v>
      </c>
    </row>
    <row r="225" spans="1:7" ht="12.75">
      <c r="A225" s="115">
        <v>492</v>
      </c>
      <c r="B225" s="141" t="s">
        <v>395</v>
      </c>
      <c r="C225" s="145"/>
      <c r="D225" s="170"/>
      <c r="E225" s="145">
        <f>730*12</f>
        <v>8760</v>
      </c>
      <c r="F225" s="171"/>
      <c r="G225" s="133">
        <f>E225</f>
        <v>8760</v>
      </c>
    </row>
    <row r="226" spans="3:6" ht="12.75">
      <c r="C226" s="166"/>
      <c r="D226" s="135"/>
      <c r="E226" s="166"/>
      <c r="F226" s="171"/>
    </row>
    <row r="227" spans="1:7" ht="12.75">
      <c r="A227" s="115">
        <v>500</v>
      </c>
      <c r="B227" s="141" t="s">
        <v>396</v>
      </c>
      <c r="C227" s="145"/>
      <c r="D227" s="170"/>
      <c r="E227" s="145">
        <v>0</v>
      </c>
      <c r="F227" s="179"/>
      <c r="G227" s="133">
        <f>E227</f>
        <v>0</v>
      </c>
    </row>
    <row r="228" spans="3:6" ht="12.75">
      <c r="C228" s="166"/>
      <c r="D228" s="135"/>
      <c r="E228" s="166"/>
      <c r="F228" s="165" t="e">
        <f>E228-#REF!</f>
        <v>#REF!</v>
      </c>
    </row>
    <row r="229" spans="3:6" ht="12.75">
      <c r="C229" s="166"/>
      <c r="D229" s="135"/>
      <c r="E229" s="166"/>
      <c r="F229" s="165" t="e">
        <f>E229-#REF!</f>
        <v>#REF!</v>
      </c>
    </row>
    <row r="230" spans="3:7" ht="12.75">
      <c r="C230" s="180"/>
      <c r="D230" s="148"/>
      <c r="E230" s="180"/>
      <c r="F230" s="181"/>
      <c r="G230" s="180"/>
    </row>
    <row r="231" spans="2:8" ht="12.75">
      <c r="B231" s="151" t="s">
        <v>397</v>
      </c>
      <c r="C231" s="154">
        <f>SUM(C101:C229)</f>
        <v>255411.12999999998</v>
      </c>
      <c r="D231" s="154">
        <f>SUM(D101:D229)</f>
        <v>212557.91000000003</v>
      </c>
      <c r="E231" s="154">
        <f>SUM(E101:E229)</f>
        <v>253232.68</v>
      </c>
      <c r="F231" s="154" t="e">
        <f>SUM(F101:F229)</f>
        <v>#REF!</v>
      </c>
      <c r="G231" s="149">
        <f>SUM(G101:G229)</f>
        <v>219743.68</v>
      </c>
      <c r="H231" s="182"/>
    </row>
    <row r="232" spans="2:7" ht="12.75">
      <c r="B232" s="151" t="s">
        <v>398</v>
      </c>
      <c r="C232" s="183">
        <f>SUM(C219+C222+C223+C225+C159+C220+C169+C221)</f>
        <v>65828.2</v>
      </c>
      <c r="D232" s="183">
        <f>SUM(D219+D222+D223+D225+D159+D220+D169+D221)</f>
        <v>52380.200000000004</v>
      </c>
      <c r="E232" s="183">
        <f>SUM(E219+E222+E223+E225+E159+E220+E169+E221)</f>
        <v>77791</v>
      </c>
      <c r="F232" s="183" t="e">
        <f>F229+F228+F223+F159+F219+#REF!+#REF!+#REF!+F222</f>
        <v>#REF!</v>
      </c>
      <c r="G232" s="149" t="e">
        <f>G229+G228+G223+G159+G219+#REF!+#REF!+#REF!+G222</f>
        <v>#REF!</v>
      </c>
    </row>
    <row r="233" spans="2:7" ht="12.75">
      <c r="B233" s="151" t="s">
        <v>399</v>
      </c>
      <c r="C233" s="184">
        <f>C231-C232</f>
        <v>189582.93</v>
      </c>
      <c r="D233" s="184">
        <f>D231-D232</f>
        <v>160177.71000000002</v>
      </c>
      <c r="E233" s="184">
        <f>E231-E232</f>
        <v>175441.68</v>
      </c>
      <c r="F233" s="184" t="e">
        <f>F231-F232</f>
        <v>#REF!</v>
      </c>
      <c r="G233" s="185" t="e">
        <f>G231-G232</f>
        <v>#REF!</v>
      </c>
    </row>
    <row r="234" ht="12.75">
      <c r="C234" s="117"/>
    </row>
    <row r="235" ht="12.75">
      <c r="C235" s="117"/>
    </row>
    <row r="236" spans="2:8" ht="12.75">
      <c r="B236" s="114" t="s">
        <v>400</v>
      </c>
      <c r="C236" s="186">
        <f aca="true" t="shared" si="7" ref="C236:G237">C89-C231</f>
        <v>129.87000000002445</v>
      </c>
      <c r="D236" s="186">
        <f t="shared" si="7"/>
        <v>22193.23999999996</v>
      </c>
      <c r="E236" s="187" t="e">
        <f t="shared" si="7"/>
        <v>#NAME?</v>
      </c>
      <c r="F236" s="187" t="e">
        <f t="shared" si="7"/>
        <v>#REF!</v>
      </c>
      <c r="G236" s="188">
        <f t="shared" si="7"/>
        <v>24629.119999999995</v>
      </c>
      <c r="H236" s="146"/>
    </row>
    <row r="237" spans="2:7" ht="12.75">
      <c r="B237" s="114" t="s">
        <v>401</v>
      </c>
      <c r="C237" s="187">
        <f t="shared" si="7"/>
        <v>1305.800000000003</v>
      </c>
      <c r="D237" s="187">
        <f t="shared" si="7"/>
        <v>-5935.770000000004</v>
      </c>
      <c r="E237" s="187">
        <f t="shared" si="7"/>
        <v>1206</v>
      </c>
      <c r="F237" s="187" t="e">
        <f t="shared" si="7"/>
        <v>#REF!</v>
      </c>
      <c r="G237" s="188" t="e">
        <f t="shared" si="7"/>
        <v>#REF!</v>
      </c>
    </row>
    <row r="238" spans="2:7" ht="12.75">
      <c r="B238" s="114" t="s">
        <v>402</v>
      </c>
      <c r="C238" s="184">
        <f>C236-C237</f>
        <v>-1175.9299999999785</v>
      </c>
      <c r="D238" s="184">
        <f>D236-D237</f>
        <v>28129.009999999966</v>
      </c>
      <c r="E238" s="189" t="e">
        <f>E91-E233</f>
        <v>#NAME?</v>
      </c>
      <c r="F238" s="189" t="e">
        <f>F91-F233</f>
        <v>#REF!</v>
      </c>
      <c r="G238" s="188" t="e">
        <f>G91-G233</f>
        <v>#REF!</v>
      </c>
    </row>
    <row r="239" ht="12.75">
      <c r="C239" s="190"/>
    </row>
    <row r="240" ht="12.75">
      <c r="E240" s="190"/>
    </row>
    <row r="242" spans="3:5" ht="12.75">
      <c r="C242" s="191"/>
      <c r="E242" s="190"/>
    </row>
    <row r="243" ht="12.75">
      <c r="F243" s="190"/>
    </row>
    <row r="248" ht="12.75">
      <c r="E248" s="190"/>
    </row>
    <row r="250" ht="12.75">
      <c r="E250" s="190"/>
    </row>
  </sheetData>
  <sheetProtection/>
  <mergeCells count="2">
    <mergeCell ref="A2:G3"/>
    <mergeCell ref="A94:G95"/>
  </mergeCells>
  <printOptions/>
  <pageMargins left="0.75" right="0.75" top="1" bottom="1" header="0.5" footer="0.5"/>
  <pageSetup fitToHeight="3" fitToWidth="1" horizontalDpi="600" verticalDpi="600" orientation="portrait"/>
  <rowBreaks count="2" manualBreakCount="2">
    <brk id="188" max="255" man="1"/>
    <brk id="2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6"/>
  <sheetViews>
    <sheetView zoomScalePageLayoutView="0" workbookViewId="0" topLeftCell="A97">
      <selection activeCell="E106" sqref="E106"/>
    </sheetView>
  </sheetViews>
  <sheetFormatPr defaultColWidth="9.140625" defaultRowHeight="12.75"/>
  <cols>
    <col min="1" max="1" width="51.00390625" style="0" bestFit="1" customWidth="1"/>
    <col min="2" max="2" width="10.00390625" style="194" bestFit="1" customWidth="1"/>
  </cols>
  <sheetData>
    <row r="1" ht="14.25">
      <c r="A1" t="s">
        <v>170</v>
      </c>
    </row>
    <row r="2" ht="14.25">
      <c r="A2" t="s">
        <v>172</v>
      </c>
    </row>
    <row r="3" ht="14.25">
      <c r="A3" t="s">
        <v>502</v>
      </c>
    </row>
    <row r="5" ht="14.25">
      <c r="B5" s="194" t="s">
        <v>173</v>
      </c>
    </row>
    <row r="6" ht="14.25">
      <c r="A6" t="s">
        <v>174</v>
      </c>
    </row>
    <row r="7" spans="1:2" ht="14.25" hidden="1">
      <c r="A7" t="s">
        <v>403</v>
      </c>
      <c r="B7" s="194">
        <v>98075.53</v>
      </c>
    </row>
    <row r="8" spans="1:2" ht="14.25" hidden="1">
      <c r="A8" t="s">
        <v>404</v>
      </c>
      <c r="B8" s="194">
        <v>1694.87</v>
      </c>
    </row>
    <row r="9" spans="1:2" ht="14.25" hidden="1">
      <c r="A9" t="s">
        <v>405</v>
      </c>
      <c r="B9" s="194">
        <v>9078.8</v>
      </c>
    </row>
    <row r="10" spans="1:2" ht="14.25" hidden="1">
      <c r="A10" t="s">
        <v>406</v>
      </c>
      <c r="B10" s="194">
        <v>540</v>
      </c>
    </row>
    <row r="11" spans="1:2" ht="14.25" hidden="1">
      <c r="A11" t="s">
        <v>407</v>
      </c>
      <c r="B11" s="194">
        <v>20</v>
      </c>
    </row>
    <row r="12" spans="1:2" ht="14.25" hidden="1">
      <c r="A12" t="s">
        <v>408</v>
      </c>
      <c r="B12" s="194">
        <v>880</v>
      </c>
    </row>
    <row r="13" spans="1:2" ht="14.25" hidden="1">
      <c r="A13" t="s">
        <v>409</v>
      </c>
      <c r="B13" s="194">
        <v>35</v>
      </c>
    </row>
    <row r="14" spans="1:2" ht="14.25" hidden="1">
      <c r="A14" t="s">
        <v>410</v>
      </c>
      <c r="B14" s="194">
        <v>11677.68</v>
      </c>
    </row>
    <row r="15" spans="1:2" ht="14.25" hidden="1">
      <c r="A15" t="s">
        <v>411</v>
      </c>
      <c r="B15" s="194">
        <v>30990.13</v>
      </c>
    </row>
    <row r="16" spans="1:2" ht="14.25" hidden="1">
      <c r="A16" t="s">
        <v>412</v>
      </c>
      <c r="B16" s="194">
        <v>1420.8</v>
      </c>
    </row>
    <row r="17" spans="1:2" ht="14.25" hidden="1">
      <c r="A17" t="s">
        <v>413</v>
      </c>
      <c r="B17" s="194">
        <v>169.51</v>
      </c>
    </row>
    <row r="18" spans="1:2" ht="14.25" hidden="1">
      <c r="A18" t="s">
        <v>414</v>
      </c>
      <c r="B18" s="194">
        <v>7.2</v>
      </c>
    </row>
    <row r="19" spans="1:2" ht="14.25" hidden="1">
      <c r="A19" t="s">
        <v>415</v>
      </c>
      <c r="B19" s="194">
        <v>2</v>
      </c>
    </row>
    <row r="20" spans="1:2" ht="14.25" hidden="1">
      <c r="A20" t="s">
        <v>416</v>
      </c>
      <c r="B20" s="194">
        <v>3.5</v>
      </c>
    </row>
    <row r="21" spans="1:2" ht="14.25" hidden="1">
      <c r="A21" t="s">
        <v>417</v>
      </c>
      <c r="B21" s="194">
        <v>5</v>
      </c>
    </row>
    <row r="22" spans="1:2" ht="14.25" hidden="1">
      <c r="A22" t="s">
        <v>418</v>
      </c>
      <c r="B22" s="194">
        <v>144.57</v>
      </c>
    </row>
    <row r="23" spans="1:2" ht="14.25" hidden="1">
      <c r="A23" t="s">
        <v>419</v>
      </c>
      <c r="B23" s="194">
        <v>96.67</v>
      </c>
    </row>
    <row r="24" spans="1:2" ht="14.25" hidden="1">
      <c r="A24" t="s">
        <v>420</v>
      </c>
      <c r="B24" s="194">
        <v>59.48</v>
      </c>
    </row>
    <row r="25" spans="1:2" ht="14.25" hidden="1">
      <c r="A25" t="s">
        <v>421</v>
      </c>
      <c r="B25" s="194">
        <v>156.15</v>
      </c>
    </row>
    <row r="26" spans="1:2" ht="14.25" hidden="1">
      <c r="A26" t="s">
        <v>422</v>
      </c>
      <c r="B26" s="194">
        <v>300</v>
      </c>
    </row>
    <row r="27" spans="1:2" ht="14.25" hidden="1">
      <c r="A27" t="s">
        <v>423</v>
      </c>
      <c r="B27" s="194">
        <v>2734.8</v>
      </c>
    </row>
    <row r="28" spans="1:2" ht="14.25" hidden="1">
      <c r="A28" t="s">
        <v>424</v>
      </c>
      <c r="B28" s="194">
        <v>1126</v>
      </c>
    </row>
    <row r="29" spans="1:2" ht="14.25" hidden="1">
      <c r="A29" t="s">
        <v>425</v>
      </c>
      <c r="B29" s="194">
        <v>900</v>
      </c>
    </row>
    <row r="30" spans="1:2" ht="14.25" hidden="1">
      <c r="A30" t="s">
        <v>426</v>
      </c>
      <c r="B30" s="194">
        <v>200</v>
      </c>
    </row>
    <row r="31" spans="1:2" ht="14.25" hidden="1">
      <c r="A31" t="s">
        <v>427</v>
      </c>
      <c r="B31" s="194">
        <v>9169.87</v>
      </c>
    </row>
    <row r="32" spans="1:2" ht="14.25" hidden="1">
      <c r="A32" t="s">
        <v>428</v>
      </c>
      <c r="B32" s="194">
        <v>400.2</v>
      </c>
    </row>
    <row r="33" spans="1:2" ht="14.25" hidden="1">
      <c r="A33" t="s">
        <v>429</v>
      </c>
      <c r="B33" s="194">
        <v>36569.78</v>
      </c>
    </row>
    <row r="34" spans="1:2" ht="14.25" hidden="1">
      <c r="A34" t="s">
        <v>430</v>
      </c>
      <c r="B34" s="194">
        <v>3209.1</v>
      </c>
    </row>
    <row r="35" spans="1:2" ht="14.25" hidden="1">
      <c r="A35" t="s">
        <v>431</v>
      </c>
      <c r="B35" s="194">
        <v>-1430.36</v>
      </c>
    </row>
    <row r="36" spans="1:2" ht="14.25" hidden="1">
      <c r="A36" t="s">
        <v>432</v>
      </c>
      <c r="B36" s="194">
        <v>-124.37</v>
      </c>
    </row>
    <row r="37" spans="1:2" ht="14.25" hidden="1">
      <c r="A37" t="s">
        <v>433</v>
      </c>
      <c r="B37" s="194">
        <v>1.3</v>
      </c>
    </row>
    <row r="38" spans="1:2" ht="14.25" hidden="1">
      <c r="A38" t="s">
        <v>434</v>
      </c>
      <c r="B38" s="194">
        <v>-15.6</v>
      </c>
    </row>
    <row r="39" spans="1:2" ht="14.25" hidden="1">
      <c r="A39" t="s">
        <v>435</v>
      </c>
      <c r="B39" s="194">
        <v>22054.15</v>
      </c>
    </row>
    <row r="40" spans="1:2" ht="14.25" hidden="1">
      <c r="A40" t="s">
        <v>436</v>
      </c>
      <c r="B40" s="194">
        <v>280.5</v>
      </c>
    </row>
    <row r="41" spans="1:2" ht="14.25" hidden="1">
      <c r="A41" t="s">
        <v>437</v>
      </c>
      <c r="B41" s="194">
        <v>478.18</v>
      </c>
    </row>
    <row r="42" spans="1:2" ht="14.25">
      <c r="A42" t="s">
        <v>438</v>
      </c>
      <c r="B42" s="194">
        <v>290.3</v>
      </c>
    </row>
    <row r="43" spans="1:2" ht="14.25">
      <c r="A43" t="s">
        <v>439</v>
      </c>
      <c r="B43" s="194">
        <v>808.51</v>
      </c>
    </row>
    <row r="44" spans="1:2" ht="14.25">
      <c r="A44" t="s">
        <v>440</v>
      </c>
      <c r="B44" s="194">
        <v>0.03</v>
      </c>
    </row>
    <row r="45" spans="1:2" ht="14.25">
      <c r="A45" t="s">
        <v>181</v>
      </c>
      <c r="B45" s="194">
        <v>232066.49</v>
      </c>
    </row>
    <row r="46" spans="1:2" ht="14.25">
      <c r="A46" t="s">
        <v>441</v>
      </c>
      <c r="B46" s="194">
        <v>232066.49</v>
      </c>
    </row>
    <row r="47" ht="14.25">
      <c r="A47" t="s">
        <v>182</v>
      </c>
    </row>
    <row r="48" spans="1:2" ht="27" customHeight="1" hidden="1">
      <c r="A48" t="s">
        <v>442</v>
      </c>
      <c r="B48" s="194">
        <v>3850</v>
      </c>
    </row>
    <row r="49" spans="1:2" ht="14.25" hidden="1">
      <c r="A49" t="s">
        <v>443</v>
      </c>
      <c r="B49" s="194">
        <v>49</v>
      </c>
    </row>
    <row r="50" spans="1:2" ht="14.25" hidden="1">
      <c r="A50" t="s">
        <v>444</v>
      </c>
      <c r="B50" s="194">
        <v>309</v>
      </c>
    </row>
    <row r="51" spans="1:2" ht="14.25" hidden="1">
      <c r="A51" t="s">
        <v>445</v>
      </c>
      <c r="B51" s="194">
        <v>851</v>
      </c>
    </row>
    <row r="52" spans="1:2" ht="14.25" hidden="1">
      <c r="A52" t="s">
        <v>446</v>
      </c>
      <c r="B52" s="194">
        <v>803.25</v>
      </c>
    </row>
    <row r="53" spans="1:2" ht="18" customHeight="1" hidden="1">
      <c r="A53" t="s">
        <v>447</v>
      </c>
      <c r="B53" s="194">
        <v>599</v>
      </c>
    </row>
    <row r="54" spans="1:2" ht="14.25" hidden="1">
      <c r="A54" t="s">
        <v>448</v>
      </c>
      <c r="B54" s="194">
        <v>1000</v>
      </c>
    </row>
    <row r="55" spans="1:2" ht="14.25" hidden="1">
      <c r="A55" t="s">
        <v>449</v>
      </c>
      <c r="B55" s="194">
        <v>2700</v>
      </c>
    </row>
    <row r="56" spans="1:2" ht="14.25" hidden="1">
      <c r="A56" t="s">
        <v>450</v>
      </c>
      <c r="B56" s="194">
        <v>2500</v>
      </c>
    </row>
    <row r="57" spans="1:2" ht="14.25" hidden="1">
      <c r="A57" t="s">
        <v>451</v>
      </c>
      <c r="B57" s="194">
        <v>246.56</v>
      </c>
    </row>
    <row r="58" spans="1:2" ht="14.25" hidden="1">
      <c r="A58" t="s">
        <v>452</v>
      </c>
      <c r="B58" s="194">
        <v>6.45</v>
      </c>
    </row>
    <row r="59" spans="1:2" ht="14.25" hidden="1">
      <c r="A59" t="s">
        <v>453</v>
      </c>
      <c r="B59" s="194">
        <v>4787.68</v>
      </c>
    </row>
    <row r="60" spans="1:2" ht="14.25" hidden="1">
      <c r="A60" t="s">
        <v>454</v>
      </c>
      <c r="B60" s="194">
        <v>5920</v>
      </c>
    </row>
    <row r="61" spans="1:2" ht="14.25" hidden="1">
      <c r="A61" t="s">
        <v>455</v>
      </c>
      <c r="B61" s="194">
        <v>415.48</v>
      </c>
    </row>
    <row r="62" spans="1:2" ht="14.25" hidden="1">
      <c r="A62" t="s">
        <v>456</v>
      </c>
      <c r="B62" s="194">
        <v>845.52</v>
      </c>
    </row>
    <row r="63" spans="1:2" ht="14.25" hidden="1">
      <c r="A63" t="s">
        <v>457</v>
      </c>
      <c r="B63" s="194">
        <v>77.68</v>
      </c>
    </row>
    <row r="64" spans="1:2" ht="14.25" hidden="1">
      <c r="A64" t="s">
        <v>458</v>
      </c>
      <c r="B64" s="194">
        <v>287.91</v>
      </c>
    </row>
    <row r="65" spans="1:2" ht="14.25" hidden="1">
      <c r="A65" t="s">
        <v>459</v>
      </c>
      <c r="B65" s="194">
        <v>1065.56</v>
      </c>
    </row>
    <row r="66" spans="1:2" ht="14.25" hidden="1">
      <c r="A66" t="s">
        <v>460</v>
      </c>
      <c r="B66" s="194">
        <v>1124</v>
      </c>
    </row>
    <row r="67" spans="1:2" ht="14.25" hidden="1">
      <c r="A67" t="s">
        <v>461</v>
      </c>
      <c r="B67" s="194">
        <v>5864</v>
      </c>
    </row>
    <row r="68" spans="1:2" ht="14.25" hidden="1">
      <c r="A68" t="s">
        <v>462</v>
      </c>
      <c r="B68" s="194">
        <v>102</v>
      </c>
    </row>
    <row r="69" spans="1:2" ht="14.25" hidden="1">
      <c r="A69" t="s">
        <v>463</v>
      </c>
      <c r="B69" s="194">
        <v>623.02</v>
      </c>
    </row>
    <row r="70" spans="1:2" ht="14.25" hidden="1">
      <c r="A70" t="s">
        <v>464</v>
      </c>
      <c r="B70" s="194">
        <v>508.43</v>
      </c>
    </row>
    <row r="71" spans="1:2" ht="14.25" hidden="1">
      <c r="A71" t="s">
        <v>465</v>
      </c>
      <c r="B71" s="194">
        <v>509.16</v>
      </c>
    </row>
    <row r="72" spans="1:2" ht="14.25" hidden="1">
      <c r="A72" t="s">
        <v>466</v>
      </c>
      <c r="B72" s="194">
        <v>540.33</v>
      </c>
    </row>
    <row r="73" spans="1:2" ht="14.25" hidden="1">
      <c r="A73" t="s">
        <v>467</v>
      </c>
      <c r="B73" s="194">
        <v>1508.74</v>
      </c>
    </row>
    <row r="74" spans="1:2" ht="14.25" hidden="1">
      <c r="A74" t="s">
        <v>503</v>
      </c>
      <c r="B74" s="194">
        <v>2734.8</v>
      </c>
    </row>
    <row r="75" spans="1:2" ht="14.25" hidden="1">
      <c r="A75" t="s">
        <v>468</v>
      </c>
      <c r="B75" s="194">
        <v>137.5</v>
      </c>
    </row>
    <row r="76" spans="1:2" ht="14.25" hidden="1">
      <c r="A76" t="s">
        <v>469</v>
      </c>
      <c r="B76" s="194">
        <v>1717.5</v>
      </c>
    </row>
    <row r="77" spans="1:2" ht="14.25" hidden="1">
      <c r="A77" t="s">
        <v>470</v>
      </c>
      <c r="B77" s="194">
        <v>9944.72</v>
      </c>
    </row>
    <row r="78" spans="1:2" ht="14.25" hidden="1">
      <c r="A78" t="s">
        <v>471</v>
      </c>
      <c r="B78" s="194">
        <v>731.39</v>
      </c>
    </row>
    <row r="79" spans="1:2" ht="14.25" hidden="1">
      <c r="A79" t="s">
        <v>472</v>
      </c>
      <c r="B79" s="194">
        <v>882.91</v>
      </c>
    </row>
    <row r="80" spans="1:2" ht="14.25" hidden="1">
      <c r="A80" t="s">
        <v>473</v>
      </c>
      <c r="B80" s="194">
        <v>971.29</v>
      </c>
    </row>
    <row r="81" spans="1:2" ht="14.25" hidden="1">
      <c r="A81" t="s">
        <v>504</v>
      </c>
      <c r="B81" s="194">
        <v>958.12</v>
      </c>
    </row>
    <row r="82" spans="1:2" ht="14.25" hidden="1">
      <c r="A82" t="s">
        <v>474</v>
      </c>
      <c r="B82" s="194">
        <v>1887.5</v>
      </c>
    </row>
    <row r="83" spans="1:2" ht="14.25" hidden="1">
      <c r="A83" t="s">
        <v>475</v>
      </c>
      <c r="B83" s="194">
        <v>8116.28</v>
      </c>
    </row>
    <row r="84" spans="1:2" ht="14.25" hidden="1">
      <c r="A84" t="s">
        <v>476</v>
      </c>
      <c r="B84" s="194">
        <v>100</v>
      </c>
    </row>
    <row r="85" spans="1:2" ht="14.25" hidden="1">
      <c r="A85" t="s">
        <v>477</v>
      </c>
      <c r="B85" s="194">
        <v>100</v>
      </c>
    </row>
    <row r="86" spans="1:2" ht="14.25" hidden="1">
      <c r="A86" t="s">
        <v>478</v>
      </c>
      <c r="B86" s="194">
        <v>52.5</v>
      </c>
    </row>
    <row r="87" spans="1:2" ht="14.25" hidden="1">
      <c r="A87" t="s">
        <v>479</v>
      </c>
      <c r="B87" s="194">
        <v>1220.22</v>
      </c>
    </row>
    <row r="88" spans="1:2" ht="14.25" hidden="1">
      <c r="A88" t="s">
        <v>480</v>
      </c>
      <c r="B88" s="194">
        <v>46919.07</v>
      </c>
    </row>
    <row r="89" spans="1:2" ht="14.25" hidden="1">
      <c r="A89" t="s">
        <v>481</v>
      </c>
      <c r="B89" s="194">
        <v>7767.77</v>
      </c>
    </row>
    <row r="90" spans="1:2" ht="14.25" hidden="1">
      <c r="A90" t="s">
        <v>482</v>
      </c>
      <c r="B90" s="194">
        <v>1463.7</v>
      </c>
    </row>
    <row r="91" spans="1:2" ht="14.25">
      <c r="A91" t="s">
        <v>483</v>
      </c>
      <c r="B91" s="194">
        <v>2926</v>
      </c>
    </row>
    <row r="92" spans="1:2" ht="14.25">
      <c r="A92" t="s">
        <v>505</v>
      </c>
      <c r="B92" s="194">
        <v>1923</v>
      </c>
    </row>
    <row r="93" spans="1:2" ht="14.25">
      <c r="A93" t="s">
        <v>506</v>
      </c>
      <c r="B93" s="194">
        <v>3248</v>
      </c>
    </row>
    <row r="94" spans="1:2" ht="14.25">
      <c r="A94" t="s">
        <v>484</v>
      </c>
      <c r="B94" s="194">
        <v>13375</v>
      </c>
    </row>
    <row r="95" spans="1:2" ht="14.25">
      <c r="A95" t="s">
        <v>485</v>
      </c>
      <c r="B95" s="194">
        <v>984.4</v>
      </c>
    </row>
    <row r="96" spans="1:2" ht="14.25">
      <c r="A96" t="s">
        <v>486</v>
      </c>
      <c r="B96" s="194">
        <v>-82.36</v>
      </c>
    </row>
    <row r="97" spans="1:2" ht="14.25">
      <c r="A97" t="s">
        <v>487</v>
      </c>
      <c r="B97" s="194">
        <v>37253.77</v>
      </c>
    </row>
    <row r="98" spans="1:2" ht="14.25">
      <c r="A98" t="s">
        <v>488</v>
      </c>
      <c r="B98" s="194">
        <v>105.99</v>
      </c>
    </row>
    <row r="99" spans="1:2" ht="14.25">
      <c r="A99" t="s">
        <v>489</v>
      </c>
      <c r="B99" s="194">
        <v>16038.09</v>
      </c>
    </row>
    <row r="100" ht="14.25">
      <c r="A100" t="s">
        <v>490</v>
      </c>
    </row>
    <row r="101" spans="1:2" ht="14.25">
      <c r="A101" t="s">
        <v>491</v>
      </c>
      <c r="B101" s="194">
        <v>301.85</v>
      </c>
    </row>
    <row r="102" spans="1:2" ht="14.25">
      <c r="A102" t="s">
        <v>492</v>
      </c>
      <c r="B102" s="194">
        <v>174</v>
      </c>
    </row>
    <row r="103" spans="1:2" ht="14.25">
      <c r="A103" t="s">
        <v>493</v>
      </c>
      <c r="B103" s="194">
        <v>475.85</v>
      </c>
    </row>
    <row r="104" spans="1:2" ht="14.25">
      <c r="A104" t="s">
        <v>494</v>
      </c>
      <c r="B104" s="194">
        <v>123.94</v>
      </c>
    </row>
    <row r="105" spans="1:2" ht="14.25">
      <c r="A105" t="s">
        <v>495</v>
      </c>
      <c r="B105" s="194">
        <v>290.67</v>
      </c>
    </row>
    <row r="106" spans="1:2" ht="14.25">
      <c r="A106" t="s">
        <v>185</v>
      </c>
      <c r="B106" s="194">
        <v>199461.39</v>
      </c>
    </row>
    <row r="107" spans="1:2" ht="14.25">
      <c r="A107" t="s">
        <v>496</v>
      </c>
      <c r="B107" s="194">
        <v>32605.099999999977</v>
      </c>
    </row>
    <row r="108" ht="14.25">
      <c r="A108" t="s">
        <v>497</v>
      </c>
    </row>
    <row r="109" spans="1:2" ht="14.25">
      <c r="A109" t="s">
        <v>498</v>
      </c>
      <c r="B109" s="194">
        <v>298.56</v>
      </c>
    </row>
    <row r="110" spans="1:2" ht="14.25">
      <c r="A110" t="s">
        <v>499</v>
      </c>
      <c r="B110" s="194">
        <v>298.56</v>
      </c>
    </row>
    <row r="111" spans="1:2" ht="14.25">
      <c r="A111" t="s">
        <v>500</v>
      </c>
      <c r="B111" s="194">
        <v>-298.56</v>
      </c>
    </row>
    <row r="112" spans="1:2" ht="14.25">
      <c r="A112" t="s">
        <v>501</v>
      </c>
      <c r="B112" s="194">
        <v>32306.539999999975</v>
      </c>
    </row>
    <row r="116" ht="14.25">
      <c r="A116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00">
      <selection activeCell="A5" sqref="A5:IV117"/>
    </sheetView>
  </sheetViews>
  <sheetFormatPr defaultColWidth="9.140625" defaultRowHeight="12.75"/>
  <cols>
    <col min="1" max="1" width="50.7109375" style="209" customWidth="1"/>
    <col min="2" max="2" width="16.28125" style="209" customWidth="1"/>
    <col min="3" max="16384" width="8.8515625" style="209" customWidth="1"/>
  </cols>
  <sheetData>
    <row r="1" spans="1:2" ht="17.25">
      <c r="A1" s="224" t="s">
        <v>170</v>
      </c>
      <c r="B1" s="223"/>
    </row>
    <row r="2" spans="1:2" ht="17.25">
      <c r="A2" s="224" t="s">
        <v>172</v>
      </c>
      <c r="B2" s="223"/>
    </row>
    <row r="3" spans="1:2" ht="14.25">
      <c r="A3" s="225" t="s">
        <v>596</v>
      </c>
      <c r="B3" s="223"/>
    </row>
    <row r="5" spans="1:2" ht="14.25">
      <c r="A5" s="210"/>
      <c r="B5" s="197" t="s">
        <v>173</v>
      </c>
    </row>
    <row r="6" spans="1:2" ht="14.25">
      <c r="A6" s="198" t="s">
        <v>174</v>
      </c>
      <c r="B6" s="199"/>
    </row>
    <row r="7" spans="1:2" ht="14.25">
      <c r="A7" s="198" t="s">
        <v>403</v>
      </c>
      <c r="B7" s="211">
        <f>99715.67</f>
        <v>99715.67</v>
      </c>
    </row>
    <row r="8" spans="1:2" ht="14.25">
      <c r="A8" s="198" t="s">
        <v>404</v>
      </c>
      <c r="B8" s="211">
        <f>1694.87</f>
        <v>1694.87</v>
      </c>
    </row>
    <row r="9" spans="1:2" ht="14.25">
      <c r="A9" s="198" t="s">
        <v>405</v>
      </c>
      <c r="B9" s="211">
        <f>10087.35</f>
        <v>10087.35</v>
      </c>
    </row>
    <row r="10" spans="1:2" ht="14.25">
      <c r="A10" s="198" t="s">
        <v>406</v>
      </c>
      <c r="B10" s="211">
        <f>560</f>
        <v>560</v>
      </c>
    </row>
    <row r="11" spans="1:2" ht="14.25">
      <c r="A11" s="198" t="s">
        <v>407</v>
      </c>
      <c r="B11" s="211">
        <f>20</f>
        <v>20</v>
      </c>
    </row>
    <row r="12" spans="1:2" ht="14.25">
      <c r="A12" s="198" t="s">
        <v>408</v>
      </c>
      <c r="B12" s="211">
        <f>895</f>
        <v>895</v>
      </c>
    </row>
    <row r="13" spans="1:2" ht="14.25">
      <c r="A13" s="198" t="s">
        <v>409</v>
      </c>
      <c r="B13" s="211">
        <f>35</f>
        <v>35</v>
      </c>
    </row>
    <row r="14" spans="1:2" ht="14.25">
      <c r="A14" s="198" t="s">
        <v>410</v>
      </c>
      <c r="B14" s="211">
        <f>12147.05</f>
        <v>12147.05</v>
      </c>
    </row>
    <row r="15" spans="1:2" ht="14.25">
      <c r="A15" s="198" t="s">
        <v>411</v>
      </c>
      <c r="B15" s="211">
        <f>39436.7</f>
        <v>39436.7</v>
      </c>
    </row>
    <row r="16" spans="1:2" ht="14.25">
      <c r="A16" s="198" t="s">
        <v>412</v>
      </c>
      <c r="B16" s="211">
        <f>1476.24</f>
        <v>1476.24</v>
      </c>
    </row>
    <row r="17" spans="1:2" ht="14.25">
      <c r="A17" s="198" t="s">
        <v>413</v>
      </c>
      <c r="B17" s="211">
        <f>333.54</f>
        <v>333.54</v>
      </c>
    </row>
    <row r="18" spans="1:2" ht="14.25">
      <c r="A18" s="198" t="s">
        <v>414</v>
      </c>
      <c r="B18" s="211">
        <f>25.42</f>
        <v>25.42</v>
      </c>
    </row>
    <row r="19" spans="1:2" ht="14.25">
      <c r="A19" s="198" t="s">
        <v>415</v>
      </c>
      <c r="B19" s="211">
        <f>4</f>
        <v>4</v>
      </c>
    </row>
    <row r="20" spans="1:2" ht="14.25">
      <c r="A20" s="198" t="s">
        <v>416</v>
      </c>
      <c r="B20" s="211">
        <f>5</f>
        <v>5</v>
      </c>
    </row>
    <row r="21" spans="1:2" ht="14.25">
      <c r="A21" s="198" t="s">
        <v>417</v>
      </c>
      <c r="B21" s="211">
        <f>5</f>
        <v>5</v>
      </c>
    </row>
    <row r="22" spans="1:2" ht="14.25">
      <c r="A22" s="198" t="s">
        <v>509</v>
      </c>
      <c r="B22" s="211">
        <f>100</f>
        <v>100</v>
      </c>
    </row>
    <row r="23" spans="1:2" ht="14.25">
      <c r="A23" s="198" t="s">
        <v>418</v>
      </c>
      <c r="B23" s="211">
        <f>144.57</f>
        <v>144.57</v>
      </c>
    </row>
    <row r="24" spans="1:2" ht="14.25">
      <c r="A24" s="198" t="s">
        <v>419</v>
      </c>
      <c r="B24" s="211">
        <f>262.14</f>
        <v>262.14</v>
      </c>
    </row>
    <row r="25" spans="1:2" ht="14.25">
      <c r="A25" s="198" t="s">
        <v>420</v>
      </c>
      <c r="B25" s="211">
        <f>93.45</f>
        <v>93.45</v>
      </c>
    </row>
    <row r="26" spans="1:2" ht="14.25">
      <c r="A26" s="198" t="s">
        <v>421</v>
      </c>
      <c r="B26" s="212">
        <f>(B24)+(B25)</f>
        <v>355.59</v>
      </c>
    </row>
    <row r="27" spans="1:2" ht="14.25">
      <c r="A27" s="198" t="s">
        <v>510</v>
      </c>
      <c r="B27" s="211">
        <f>12</f>
        <v>12</v>
      </c>
    </row>
    <row r="28" spans="1:2" ht="14.25">
      <c r="A28" s="198" t="s">
        <v>511</v>
      </c>
      <c r="B28" s="211">
        <f>201.36</f>
        <v>201.36</v>
      </c>
    </row>
    <row r="29" spans="1:2" ht="14.25">
      <c r="A29" s="198" t="s">
        <v>422</v>
      </c>
      <c r="B29" s="211">
        <f>300</f>
        <v>300</v>
      </c>
    </row>
    <row r="30" spans="1:2" ht="14.25">
      <c r="A30" s="198" t="s">
        <v>423</v>
      </c>
      <c r="B30" s="211">
        <f>2734.8</f>
        <v>2734.8</v>
      </c>
    </row>
    <row r="31" spans="1:2" ht="14.25">
      <c r="A31" s="198" t="s">
        <v>424</v>
      </c>
      <c r="B31" s="211">
        <f>1126</f>
        <v>1126</v>
      </c>
    </row>
    <row r="32" spans="1:2" ht="14.25">
      <c r="A32" s="198" t="s">
        <v>425</v>
      </c>
      <c r="B32" s="211">
        <f>900</f>
        <v>900</v>
      </c>
    </row>
    <row r="33" spans="1:2" ht="14.25">
      <c r="A33" s="198" t="s">
        <v>426</v>
      </c>
      <c r="B33" s="211">
        <f>2200</f>
        <v>2200</v>
      </c>
    </row>
    <row r="34" spans="1:2" ht="14.25">
      <c r="A34" s="198" t="s">
        <v>427</v>
      </c>
      <c r="B34" s="211">
        <f>9352.1</f>
        <v>9352.1</v>
      </c>
    </row>
    <row r="35" spans="1:2" ht="14.25">
      <c r="A35" s="198" t="s">
        <v>428</v>
      </c>
      <c r="B35" s="211">
        <f>400.2</f>
        <v>400.2</v>
      </c>
    </row>
    <row r="36" spans="1:2" ht="14.25">
      <c r="A36" s="198" t="s">
        <v>429</v>
      </c>
      <c r="B36" s="211">
        <f>36842.03</f>
        <v>36842.03</v>
      </c>
    </row>
    <row r="37" spans="1:2" ht="14.25">
      <c r="A37" s="198" t="s">
        <v>430</v>
      </c>
      <c r="B37" s="211">
        <f>4010.32</f>
        <v>4010.32</v>
      </c>
    </row>
    <row r="38" spans="1:2" ht="14.25">
      <c r="A38" s="198" t="s">
        <v>431</v>
      </c>
      <c r="B38" s="211">
        <f>-1430.36</f>
        <v>-1430.36</v>
      </c>
    </row>
    <row r="39" spans="1:2" ht="14.25">
      <c r="A39" s="198" t="s">
        <v>432</v>
      </c>
      <c r="B39" s="211">
        <f>-124.37</f>
        <v>-124.37</v>
      </c>
    </row>
    <row r="40" spans="1:2" ht="14.25">
      <c r="A40" s="198" t="s">
        <v>433</v>
      </c>
      <c r="B40" s="211">
        <f>1.3</f>
        <v>1.3</v>
      </c>
    </row>
    <row r="41" spans="1:2" ht="14.25">
      <c r="A41" s="198" t="s">
        <v>434</v>
      </c>
      <c r="B41" s="211">
        <f>-15.6</f>
        <v>-15.6</v>
      </c>
    </row>
    <row r="42" spans="1:2" ht="14.25">
      <c r="A42" s="198" t="s">
        <v>435</v>
      </c>
      <c r="B42" s="211">
        <f>22054.15</f>
        <v>22054.15</v>
      </c>
    </row>
    <row r="43" spans="1:2" ht="14.25">
      <c r="A43" s="198" t="s">
        <v>436</v>
      </c>
      <c r="B43" s="211">
        <f>291.5</f>
        <v>291.5</v>
      </c>
    </row>
    <row r="44" spans="1:2" ht="14.25">
      <c r="A44" s="198" t="s">
        <v>437</v>
      </c>
      <c r="B44" s="200">
        <f>7064.41</f>
        <v>7064.41</v>
      </c>
    </row>
    <row r="45" spans="1:2" ht="14.25">
      <c r="A45" s="198" t="s">
        <v>438</v>
      </c>
      <c r="B45" s="200">
        <f>295.8</f>
        <v>295.8</v>
      </c>
    </row>
    <row r="46" spans="1:2" ht="14.25">
      <c r="A46" s="198" t="s">
        <v>439</v>
      </c>
      <c r="B46" s="200">
        <f>920.56</f>
        <v>920.56</v>
      </c>
    </row>
    <row r="47" spans="1:2" ht="14.25">
      <c r="A47" s="198" t="s">
        <v>440</v>
      </c>
      <c r="B47" s="200">
        <f>0.09</f>
        <v>0.09</v>
      </c>
    </row>
    <row r="48" spans="1:2" ht="14.25">
      <c r="A48" s="198" t="s">
        <v>181</v>
      </c>
      <c r="B48" s="201">
        <f>((((((((((((((((((((((((((((((((((((((B7)+(B8))+(B9))+(B10))+(B11))+(B12))+(B13))+(B14))+(B15))+(B16))+(B17))+(B18))+(B19))+(B20))+(B21))+(B22))+(B23))+(B26))+(B27))+(B28))+(B29))+(B30))+(B31))+(B32))+(B33))+(B34))+(B35))+(B36))+(B37))+(B38))+(B39))+(B40))+(B41))+(B42))+(B43))+(B44))+(B45))+(B46))+(B47)</f>
        <v>254177.29</v>
      </c>
    </row>
    <row r="49" spans="1:2" ht="14.25">
      <c r="A49" s="198" t="s">
        <v>441</v>
      </c>
      <c r="B49" s="201">
        <f>(B48)-(0)</f>
        <v>254177.29</v>
      </c>
    </row>
    <row r="50" spans="1:2" ht="14.25">
      <c r="A50" s="198" t="s">
        <v>182</v>
      </c>
      <c r="B50" s="199"/>
    </row>
    <row r="51" spans="1:2" ht="14.25">
      <c r="A51" s="198" t="s">
        <v>442</v>
      </c>
      <c r="B51" s="200">
        <f>4100</f>
        <v>4100</v>
      </c>
    </row>
    <row r="52" spans="1:2" ht="14.25">
      <c r="A52" s="198" t="s">
        <v>443</v>
      </c>
      <c r="B52" s="200">
        <f>49</f>
        <v>49</v>
      </c>
    </row>
    <row r="53" spans="1:2" ht="14.25">
      <c r="A53" s="198" t="s">
        <v>444</v>
      </c>
      <c r="B53" s="200">
        <f>459</f>
        <v>459</v>
      </c>
    </row>
    <row r="54" spans="1:2" ht="14.25">
      <c r="A54" s="198" t="s">
        <v>445</v>
      </c>
      <c r="B54" s="200">
        <f>851</f>
        <v>851</v>
      </c>
    </row>
    <row r="55" spans="1:2" ht="14.25">
      <c r="A55" s="198" t="s">
        <v>446</v>
      </c>
      <c r="B55" s="200">
        <f>803.25</f>
        <v>803.25</v>
      </c>
    </row>
    <row r="56" spans="1:2" ht="14.25">
      <c r="A56" s="198" t="s">
        <v>447</v>
      </c>
      <c r="B56" s="200">
        <f>599</f>
        <v>599</v>
      </c>
    </row>
    <row r="57" spans="1:2" ht="14.25">
      <c r="A57" s="198" t="s">
        <v>448</v>
      </c>
      <c r="B57" s="200">
        <f>1100</f>
        <v>1100</v>
      </c>
    </row>
    <row r="58" spans="1:2" ht="14.25">
      <c r="A58" s="198" t="s">
        <v>449</v>
      </c>
      <c r="B58" s="200">
        <f>2700</f>
        <v>2700</v>
      </c>
    </row>
    <row r="59" spans="1:2" ht="14.25">
      <c r="A59" s="198" t="s">
        <v>450</v>
      </c>
      <c r="B59" s="200">
        <f>2750</f>
        <v>2750</v>
      </c>
    </row>
    <row r="60" spans="1:2" ht="14.25">
      <c r="A60" s="198" t="s">
        <v>451</v>
      </c>
      <c r="B60" s="200">
        <f>246.56</f>
        <v>246.56</v>
      </c>
    </row>
    <row r="61" spans="1:2" ht="14.25">
      <c r="A61" s="198" t="s">
        <v>452</v>
      </c>
      <c r="B61" s="200">
        <f>6.45</f>
        <v>6.45</v>
      </c>
    </row>
    <row r="62" spans="1:2" ht="14.25">
      <c r="A62" s="198" t="s">
        <v>453</v>
      </c>
      <c r="B62" s="200">
        <f>5538.18</f>
        <v>5538.18</v>
      </c>
    </row>
    <row r="63" spans="1:2" ht="14.25">
      <c r="A63" s="198" t="s">
        <v>454</v>
      </c>
      <c r="B63" s="200">
        <f>6512</f>
        <v>6512</v>
      </c>
    </row>
    <row r="64" spans="1:2" ht="14.25">
      <c r="A64" s="198" t="s">
        <v>455</v>
      </c>
      <c r="B64" s="200">
        <f>415.48</f>
        <v>415.48</v>
      </c>
    </row>
    <row r="65" spans="1:2" ht="14.25">
      <c r="A65" s="198" t="s">
        <v>456</v>
      </c>
      <c r="B65" s="200">
        <f>898.02</f>
        <v>898.02</v>
      </c>
    </row>
    <row r="66" spans="1:2" ht="14.25">
      <c r="A66" s="198" t="s">
        <v>457</v>
      </c>
      <c r="B66" s="200">
        <f>77.68</f>
        <v>77.68</v>
      </c>
    </row>
    <row r="67" spans="1:2" ht="14.25">
      <c r="A67" s="198" t="s">
        <v>458</v>
      </c>
      <c r="B67" s="200">
        <f>324.22</f>
        <v>324.22</v>
      </c>
    </row>
    <row r="68" spans="1:2" ht="14.25">
      <c r="A68" s="198" t="s">
        <v>459</v>
      </c>
      <c r="B68" s="200">
        <f>1413.26</f>
        <v>1413.26</v>
      </c>
    </row>
    <row r="69" spans="1:2" ht="14.25">
      <c r="A69" s="198" t="s">
        <v>512</v>
      </c>
      <c r="B69" s="200">
        <f>435</f>
        <v>435</v>
      </c>
    </row>
    <row r="70" spans="1:2" ht="14.25">
      <c r="A70" s="198" t="s">
        <v>460</v>
      </c>
      <c r="B70" s="200">
        <f>1124</f>
        <v>1124</v>
      </c>
    </row>
    <row r="71" spans="1:2" ht="14.25">
      <c r="A71" s="198" t="s">
        <v>461</v>
      </c>
      <c r="B71" s="200">
        <f>5864</f>
        <v>5864</v>
      </c>
    </row>
    <row r="72" spans="1:2" ht="14.25">
      <c r="A72" s="198" t="s">
        <v>462</v>
      </c>
      <c r="B72" s="200">
        <f>331</f>
        <v>331</v>
      </c>
    </row>
    <row r="73" spans="1:2" ht="14.25">
      <c r="A73" s="198" t="s">
        <v>463</v>
      </c>
      <c r="B73" s="200">
        <f>747.94</f>
        <v>747.94</v>
      </c>
    </row>
    <row r="74" spans="1:2" ht="14.25">
      <c r="A74" s="198" t="s">
        <v>464</v>
      </c>
      <c r="B74" s="200">
        <f>611.33</f>
        <v>611.33</v>
      </c>
    </row>
    <row r="75" spans="1:2" ht="14.25">
      <c r="A75" s="198" t="s">
        <v>465</v>
      </c>
      <c r="B75" s="200">
        <f>612.68</f>
        <v>612.68</v>
      </c>
    </row>
    <row r="76" spans="1:2" ht="14.25">
      <c r="A76" s="198" t="s">
        <v>466</v>
      </c>
      <c r="B76" s="200">
        <f>738.33</f>
        <v>738.33</v>
      </c>
    </row>
    <row r="77" spans="1:2" ht="14.25">
      <c r="A77" s="198" t="s">
        <v>467</v>
      </c>
      <c r="B77" s="200">
        <f>1508.74</f>
        <v>1508.74</v>
      </c>
    </row>
    <row r="78" spans="1:2" ht="14.25">
      <c r="A78" s="198" t="s">
        <v>503</v>
      </c>
      <c r="B78" s="200">
        <f>2734.8</f>
        <v>2734.8</v>
      </c>
    </row>
    <row r="79" spans="1:2" ht="14.25">
      <c r="A79" s="198" t="s">
        <v>468</v>
      </c>
      <c r="B79" s="200">
        <f>218.75</f>
        <v>218.75</v>
      </c>
    </row>
    <row r="80" spans="1:2" ht="14.25">
      <c r="A80" s="198" t="s">
        <v>469</v>
      </c>
      <c r="B80" s="200">
        <f>1822.5</f>
        <v>1822.5</v>
      </c>
    </row>
    <row r="81" spans="1:2" ht="14.25">
      <c r="A81" s="198" t="s">
        <v>470</v>
      </c>
      <c r="B81" s="200">
        <f>11018.72</f>
        <v>11018.72</v>
      </c>
    </row>
    <row r="82" spans="1:2" ht="14.25">
      <c r="A82" s="198" t="s">
        <v>471</v>
      </c>
      <c r="B82" s="200">
        <f>657.39</f>
        <v>657.39</v>
      </c>
    </row>
    <row r="83" spans="1:2" ht="14.25">
      <c r="A83" s="198" t="s">
        <v>472</v>
      </c>
      <c r="B83" s="200">
        <f>978.64</f>
        <v>978.64</v>
      </c>
    </row>
    <row r="84" spans="1:2" ht="14.25">
      <c r="A84" s="198" t="s">
        <v>473</v>
      </c>
      <c r="B84" s="200">
        <f>1518.7</f>
        <v>1518.7</v>
      </c>
    </row>
    <row r="85" spans="1:2" ht="14.25">
      <c r="A85" s="198" t="s">
        <v>504</v>
      </c>
      <c r="B85" s="200">
        <f>1457.11</f>
        <v>1457.11</v>
      </c>
    </row>
    <row r="86" spans="1:2" ht="14.25">
      <c r="A86" s="198" t="s">
        <v>474</v>
      </c>
      <c r="B86" s="200">
        <f>2724.24</f>
        <v>2724.24</v>
      </c>
    </row>
    <row r="87" spans="1:2" ht="14.25">
      <c r="A87" s="198" t="s">
        <v>475</v>
      </c>
      <c r="B87" s="200">
        <f>9848.77</f>
        <v>9848.77</v>
      </c>
    </row>
    <row r="88" spans="1:2" ht="14.25">
      <c r="A88" s="198" t="s">
        <v>513</v>
      </c>
      <c r="B88" s="200">
        <f>70</f>
        <v>70</v>
      </c>
    </row>
    <row r="89" spans="1:2" ht="14.25">
      <c r="A89" s="198" t="s">
        <v>476</v>
      </c>
      <c r="B89" s="200">
        <f>100</f>
        <v>100</v>
      </c>
    </row>
    <row r="90" spans="1:2" ht="14.25">
      <c r="A90" s="198" t="s">
        <v>477</v>
      </c>
      <c r="B90" s="200">
        <f>100</f>
        <v>100</v>
      </c>
    </row>
    <row r="91" spans="1:2" ht="14.25">
      <c r="A91" s="198" t="s">
        <v>478</v>
      </c>
      <c r="B91" s="200">
        <f>52.5</f>
        <v>52.5</v>
      </c>
    </row>
    <row r="92" spans="1:2" ht="14.25">
      <c r="A92" s="198" t="s">
        <v>479</v>
      </c>
      <c r="B92" s="200">
        <f>1220.22</f>
        <v>1220.22</v>
      </c>
    </row>
    <row r="93" spans="1:2" ht="14.25">
      <c r="A93" s="198" t="s">
        <v>480</v>
      </c>
      <c r="B93" s="200">
        <f>46919.07</f>
        <v>46919.07</v>
      </c>
    </row>
    <row r="94" spans="1:2" ht="14.25">
      <c r="A94" s="198" t="s">
        <v>481</v>
      </c>
      <c r="B94" s="200">
        <f>7767.77</f>
        <v>7767.77</v>
      </c>
    </row>
    <row r="95" spans="1:2" ht="14.25">
      <c r="A95" s="198" t="s">
        <v>482</v>
      </c>
      <c r="B95" s="200">
        <f>1925.57</f>
        <v>1925.57</v>
      </c>
    </row>
    <row r="96" spans="1:2" ht="14.25">
      <c r="A96" s="198" t="s">
        <v>483</v>
      </c>
      <c r="B96" s="200">
        <f>2926</f>
        <v>2926</v>
      </c>
    </row>
    <row r="97" spans="1:2" ht="14.25">
      <c r="A97" s="198" t="s">
        <v>505</v>
      </c>
      <c r="B97" s="200">
        <f>1923</f>
        <v>1923</v>
      </c>
    </row>
    <row r="98" spans="1:2" ht="14.25">
      <c r="A98" s="198" t="s">
        <v>506</v>
      </c>
      <c r="B98" s="200">
        <f>3248</f>
        <v>3248</v>
      </c>
    </row>
    <row r="99" spans="1:2" ht="14.25">
      <c r="A99" s="198" t="s">
        <v>484</v>
      </c>
      <c r="B99" s="200">
        <f>15677</f>
        <v>15677</v>
      </c>
    </row>
    <row r="100" spans="1:2" ht="14.25">
      <c r="A100" s="198" t="s">
        <v>485</v>
      </c>
      <c r="B100" s="200">
        <f>1181.28</f>
        <v>1181.28</v>
      </c>
    </row>
    <row r="101" spans="1:2" ht="14.25">
      <c r="A101" s="198" t="s">
        <v>486</v>
      </c>
      <c r="B101" s="200">
        <f>-82.36</f>
        <v>-82.36</v>
      </c>
    </row>
    <row r="102" spans="1:2" ht="14.25">
      <c r="A102" s="198" t="s">
        <v>487</v>
      </c>
      <c r="B102" s="200">
        <f>44702.81</f>
        <v>44702.81</v>
      </c>
    </row>
    <row r="103" spans="1:2" ht="14.25">
      <c r="A103" s="198" t="s">
        <v>488</v>
      </c>
      <c r="B103" s="200">
        <f>105.99</f>
        <v>105.99</v>
      </c>
    </row>
    <row r="104" spans="1:2" ht="14.25">
      <c r="A104" s="198" t="s">
        <v>489</v>
      </c>
      <c r="B104" s="200">
        <f>15588.09</f>
        <v>15588.09</v>
      </c>
    </row>
    <row r="105" spans="1:2" ht="14.25">
      <c r="A105" s="198" t="s">
        <v>490</v>
      </c>
      <c r="B105" s="199"/>
    </row>
    <row r="106" spans="1:2" ht="14.25">
      <c r="A106" s="198" t="s">
        <v>491</v>
      </c>
      <c r="B106" s="200">
        <f>46.38</f>
        <v>46.38</v>
      </c>
    </row>
    <row r="107" spans="1:2" ht="14.25">
      <c r="A107" s="198" t="s">
        <v>492</v>
      </c>
      <c r="B107" s="200">
        <f>606.25</f>
        <v>606.25</v>
      </c>
    </row>
    <row r="108" spans="1:2" ht="14.25">
      <c r="A108" s="198" t="s">
        <v>493</v>
      </c>
      <c r="B108" s="201">
        <f>((B105)+(B106))+(B107)</f>
        <v>652.63</v>
      </c>
    </row>
    <row r="109" spans="1:2" ht="14.25">
      <c r="A109" s="198" t="s">
        <v>494</v>
      </c>
      <c r="B109" s="200">
        <f>123.94</f>
        <v>123.94</v>
      </c>
    </row>
    <row r="110" spans="1:2" ht="14.25">
      <c r="A110" s="198" t="s">
        <v>495</v>
      </c>
      <c r="B110" s="200">
        <f>290.67</f>
        <v>290.67</v>
      </c>
    </row>
    <row r="111" spans="1:2" ht="14.25">
      <c r="A111" s="198" t="s">
        <v>185</v>
      </c>
      <c r="B111" s="201">
        <f>((((((((((((((((((((((((((((((((((((((((((((((((((((((((B51)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108))+(B109))+(B110)</f>
        <v>218287.92</v>
      </c>
    </row>
    <row r="112" spans="1:2" ht="14.25">
      <c r="A112" s="198" t="s">
        <v>496</v>
      </c>
      <c r="B112" s="201">
        <f>(B49)-(B111)</f>
        <v>35889.369999999995</v>
      </c>
    </row>
    <row r="113" spans="1:2" ht="14.25">
      <c r="A113" s="198" t="s">
        <v>497</v>
      </c>
      <c r="B113" s="199"/>
    </row>
    <row r="114" spans="1:2" ht="14.25">
      <c r="A114" s="198" t="s">
        <v>498</v>
      </c>
      <c r="B114" s="200">
        <f>298.6</f>
        <v>298.6</v>
      </c>
    </row>
    <row r="115" spans="1:2" ht="14.25">
      <c r="A115" s="198" t="s">
        <v>499</v>
      </c>
      <c r="B115" s="201">
        <f>B114</f>
        <v>298.6</v>
      </c>
    </row>
    <row r="116" spans="1:2" ht="14.25">
      <c r="A116" s="198" t="s">
        <v>500</v>
      </c>
      <c r="B116" s="201">
        <f>(0)-(B115)</f>
        <v>-298.6</v>
      </c>
    </row>
    <row r="117" spans="1:2" ht="14.25">
      <c r="A117" s="198" t="s">
        <v>501</v>
      </c>
      <c r="B117" s="201">
        <f>(B112)+(B116)</f>
        <v>35590.77</v>
      </c>
    </row>
    <row r="118" spans="1:2" ht="14.25">
      <c r="A118" s="198"/>
      <c r="B118" s="199"/>
    </row>
    <row r="121" spans="1:2" ht="14.25">
      <c r="A121" s="222" t="s">
        <v>597</v>
      </c>
      <c r="B121" s="223"/>
    </row>
  </sheetData>
  <sheetProtection/>
  <mergeCells count="4">
    <mergeCell ref="A121:B121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6">
      <selection activeCell="A29" sqref="A29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15" t="s">
        <v>170</v>
      </c>
      <c r="B1" s="216"/>
    </row>
    <row r="2" spans="1:2" ht="17.25">
      <c r="A2" s="215" t="s">
        <v>171</v>
      </c>
      <c r="B2" s="216"/>
    </row>
    <row r="3" spans="1:2" ht="17.25">
      <c r="A3" s="215" t="s">
        <v>598</v>
      </c>
      <c r="B3" s="217"/>
    </row>
    <row r="5" spans="1:2" ht="12.75" customHeight="1">
      <c r="A5" s="45" t="s">
        <v>172</v>
      </c>
      <c r="B5" s="46" t="s">
        <v>173</v>
      </c>
    </row>
    <row r="6" spans="1:2" ht="17.25" customHeight="1">
      <c r="A6" s="47" t="s">
        <v>174</v>
      </c>
      <c r="B6" s="48"/>
    </row>
    <row r="7" spans="1:2" ht="12.75" customHeight="1">
      <c r="A7" s="49" t="s">
        <v>175</v>
      </c>
      <c r="B7" s="89">
        <f>'Dec 2016'!D16</f>
        <v>9352.1</v>
      </c>
    </row>
    <row r="8" spans="1:2" ht="12.75" customHeight="1">
      <c r="A8" s="49" t="s">
        <v>176</v>
      </c>
      <c r="B8" s="89">
        <f>'Dec 2016'!D17</f>
        <v>-124.37</v>
      </c>
    </row>
    <row r="9" spans="1:2" ht="12.75" customHeight="1">
      <c r="A9" s="49" t="s">
        <v>177</v>
      </c>
      <c r="B9" s="89">
        <f>'Dec 2016'!D18</f>
        <v>400.2</v>
      </c>
    </row>
    <row r="10" spans="1:2" ht="12.75" customHeight="1">
      <c r="A10" s="49" t="s">
        <v>178</v>
      </c>
      <c r="B10" s="89">
        <v>0</v>
      </c>
    </row>
    <row r="11" spans="1:2" ht="12.75" customHeight="1">
      <c r="A11" s="49" t="s">
        <v>179</v>
      </c>
      <c r="B11" s="89">
        <f>'Dec 2016'!D42</f>
        <v>2734.8</v>
      </c>
    </row>
    <row r="12" spans="1:5" ht="12.75" customHeight="1">
      <c r="A12" s="49" t="s">
        <v>180</v>
      </c>
      <c r="B12" s="90">
        <v>0</v>
      </c>
      <c r="E12" s="52"/>
    </row>
    <row r="13" spans="1:2" ht="18" customHeight="1">
      <c r="A13" s="53" t="s">
        <v>181</v>
      </c>
      <c r="B13" s="54">
        <f>SUM(B7:B12)</f>
        <v>12362.73</v>
      </c>
    </row>
    <row r="14" spans="1:2" ht="12.75" customHeight="1">
      <c r="A14" s="52"/>
      <c r="B14" s="55"/>
    </row>
    <row r="15" spans="1:2" ht="12.75" customHeight="1">
      <c r="A15" s="47" t="s">
        <v>182</v>
      </c>
      <c r="B15" s="56"/>
    </row>
    <row r="16" spans="1:2" ht="12.75" customHeight="1">
      <c r="A16" s="49" t="s">
        <v>183</v>
      </c>
      <c r="B16" s="50">
        <f>'Dec 2016'!D115</f>
        <v>9540</v>
      </c>
    </row>
    <row r="17" spans="1:2" ht="12.75" customHeight="1">
      <c r="A17" s="49" t="s">
        <v>179</v>
      </c>
      <c r="B17" s="50">
        <f>'Dec 2016'!D117</f>
        <v>2734.8</v>
      </c>
    </row>
    <row r="18" spans="1:2" ht="12.75" customHeight="1">
      <c r="A18" s="49" t="s">
        <v>184</v>
      </c>
      <c r="B18" s="50">
        <f>'Dec 2016'!D116</f>
        <v>6137</v>
      </c>
    </row>
    <row r="19" spans="1:4" ht="15.75" customHeight="1">
      <c r="A19" s="47" t="s">
        <v>185</v>
      </c>
      <c r="B19" s="54">
        <f>SUM(B16:B18)</f>
        <v>18411.8</v>
      </c>
      <c r="D19" s="57"/>
    </row>
    <row r="20" spans="1:2" ht="18" customHeight="1">
      <c r="A20" s="47" t="s">
        <v>186</v>
      </c>
      <c r="B20" s="58">
        <f>B13-B19</f>
        <v>-6049.07</v>
      </c>
    </row>
    <row r="21" spans="1:2" ht="12.75" customHeight="1">
      <c r="A21" s="52"/>
      <c r="B21" s="50"/>
    </row>
    <row r="22" spans="1:2" ht="12.75" customHeight="1">
      <c r="A22" s="52"/>
      <c r="B22" s="59"/>
    </row>
    <row r="23" spans="1:2" ht="12.75" customHeight="1">
      <c r="A23" s="45" t="s">
        <v>187</v>
      </c>
      <c r="B23" s="59"/>
    </row>
    <row r="24" spans="1:2" ht="12.75" customHeight="1">
      <c r="A24" s="53" t="s">
        <v>603</v>
      </c>
      <c r="B24" s="60"/>
    </row>
    <row r="25" spans="1:7" ht="12.75" customHeight="1">
      <c r="A25" s="107" t="s">
        <v>604</v>
      </c>
      <c r="B25" s="62"/>
      <c r="C25" s="65">
        <f>'BS -Dec'!F19</f>
        <v>554.9</v>
      </c>
      <c r="G25" s="63"/>
    </row>
    <row r="26" spans="1:7" ht="12.75" customHeight="1">
      <c r="A26" s="61" t="s">
        <v>188</v>
      </c>
      <c r="B26" s="64"/>
      <c r="C26" s="65">
        <f>B20+B31-C25</f>
        <v>-24983.34</v>
      </c>
      <c r="G26" s="66"/>
    </row>
    <row r="27" spans="1:3" ht="12.75" customHeight="1">
      <c r="A27" s="61" t="s">
        <v>189</v>
      </c>
      <c r="B27" s="62"/>
      <c r="C27" s="67">
        <v>0</v>
      </c>
    </row>
    <row r="28" spans="1:4" ht="12.75" customHeight="1">
      <c r="A28" s="107" t="s">
        <v>605</v>
      </c>
      <c r="B28" s="64"/>
      <c r="C28" s="68">
        <f>SUM(C25:C27)</f>
        <v>-24428.44</v>
      </c>
      <c r="D28" s="40" t="s">
        <v>190</v>
      </c>
    </row>
    <row r="29" spans="1:3" ht="12.75" customHeight="1">
      <c r="A29" s="61" t="s">
        <v>191</v>
      </c>
      <c r="B29" s="64"/>
      <c r="C29" s="56"/>
    </row>
    <row r="30" spans="1:3" ht="12.75" customHeight="1">
      <c r="A30" s="61" t="s">
        <v>192</v>
      </c>
      <c r="B30" s="65">
        <v>0</v>
      </c>
      <c r="C30" s="56"/>
    </row>
    <row r="31" spans="1:9" ht="12.75" customHeight="1">
      <c r="A31" s="61" t="s">
        <v>193</v>
      </c>
      <c r="B31" s="65">
        <f>-18379.37</f>
        <v>-18379.37</v>
      </c>
      <c r="C31" s="56"/>
      <c r="I31" s="66"/>
    </row>
    <row r="32" spans="1:9" ht="12.75" customHeight="1">
      <c r="A32" s="61" t="s">
        <v>194</v>
      </c>
      <c r="B32" s="65">
        <f>B13</f>
        <v>12362.73</v>
      </c>
      <c r="C32" s="56"/>
      <c r="I32" s="66"/>
    </row>
    <row r="33" spans="1:9" ht="12.75" customHeight="1">
      <c r="A33" s="61" t="s">
        <v>195</v>
      </c>
      <c r="B33" s="70">
        <f>-B19</f>
        <v>-18411.8</v>
      </c>
      <c r="C33" s="56"/>
      <c r="G33" s="66"/>
      <c r="I33" s="66"/>
    </row>
    <row r="34" spans="1:9" ht="12.75" customHeight="1">
      <c r="A34" s="61" t="s">
        <v>196</v>
      </c>
      <c r="B34" s="102">
        <f>B30+B31+B32+B33</f>
        <v>-24428.44</v>
      </c>
      <c r="C34" s="56"/>
      <c r="I34" s="66"/>
    </row>
    <row r="35" spans="1:9" ht="12.75" customHeight="1">
      <c r="A35" s="71" t="s">
        <v>5</v>
      </c>
      <c r="B35" s="65">
        <f>C28-B34</f>
        <v>0</v>
      </c>
      <c r="C35" s="56"/>
      <c r="I35" s="66"/>
    </row>
    <row r="36" spans="1:9" ht="12.75" customHeight="1">
      <c r="A36" s="52"/>
      <c r="B36" s="72"/>
      <c r="F36" s="73"/>
      <c r="G36" s="73"/>
      <c r="H36" s="73"/>
      <c r="I36" s="66"/>
    </row>
    <row r="37" spans="1:9" ht="12.75" customHeight="1">
      <c r="A37" s="52"/>
      <c r="B37" s="59"/>
      <c r="I37" s="66"/>
    </row>
    <row r="38" ht="12.75" customHeight="1">
      <c r="I38" s="66"/>
    </row>
    <row r="39" ht="12.75" customHeight="1"/>
    <row r="40" ht="12.75" customHeight="1"/>
    <row r="41" ht="12.75" customHeight="1"/>
    <row r="42" ht="12.75" customHeight="1"/>
    <row r="43" ht="12.75" customHeight="1"/>
    <row r="44" spans="1:2" ht="12.75" customHeight="1">
      <c r="A44" s="52"/>
      <c r="B44" s="59"/>
    </row>
    <row r="45" spans="1:2" ht="12.75" customHeight="1">
      <c r="A45" s="52"/>
      <c r="B45" s="59"/>
    </row>
    <row r="46" spans="1:2" ht="12.75" customHeight="1">
      <c r="A46" s="52"/>
      <c r="B46" s="59"/>
    </row>
    <row r="47" spans="1:2" ht="12.75" customHeight="1">
      <c r="A47" s="52"/>
      <c r="B47" s="59"/>
    </row>
    <row r="48" spans="1:2" ht="12.75" customHeight="1">
      <c r="A48" s="52"/>
      <c r="B48" s="59"/>
    </row>
    <row r="49" spans="1:2" ht="12.75" customHeight="1">
      <c r="A49" s="52"/>
      <c r="B49" s="59"/>
    </row>
    <row r="50" spans="1:2" ht="12.75" customHeight="1">
      <c r="A50" s="52"/>
      <c r="B50" s="59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65.00390625" style="0" customWidth="1"/>
    <col min="2" max="2" width="12.57421875" style="0" customWidth="1"/>
    <col min="3" max="3" width="15.421875" style="0" customWidth="1"/>
    <col min="4" max="4" width="12.7109375" style="0" customWidth="1"/>
    <col min="5" max="5" width="40.421875" style="0" customWidth="1"/>
    <col min="6" max="6" width="11.28125" style="0" customWidth="1"/>
  </cols>
  <sheetData>
    <row r="1" spans="1:2" ht="17.25">
      <c r="A1" s="215" t="s">
        <v>170</v>
      </c>
      <c r="B1" s="216"/>
    </row>
    <row r="2" spans="1:2" ht="17.25">
      <c r="A2" s="215" t="s">
        <v>197</v>
      </c>
      <c r="B2" s="216"/>
    </row>
    <row r="3" spans="1:2" ht="17.25">
      <c r="A3" s="215" t="str">
        <f>'Fire Tax -Dec'!A3:B3</f>
        <v>Month Ended:  December 31, 2016</v>
      </c>
      <c r="B3" s="217"/>
    </row>
    <row r="5" spans="1:2" ht="12.75" customHeight="1">
      <c r="A5" s="45" t="s">
        <v>172</v>
      </c>
      <c r="B5" s="46" t="s">
        <v>173</v>
      </c>
    </row>
    <row r="6" spans="1:2" ht="17.25" customHeight="1">
      <c r="A6" s="47" t="s">
        <v>174</v>
      </c>
      <c r="B6" s="48"/>
    </row>
    <row r="7" spans="1:2" ht="12.75" customHeight="1">
      <c r="A7" s="49" t="s">
        <v>198</v>
      </c>
      <c r="B7" s="50">
        <f>'Dec 2016'!D55</f>
        <v>22054.15</v>
      </c>
    </row>
    <row r="8" spans="1:2" ht="12.75" customHeight="1">
      <c r="A8" s="49" t="s">
        <v>199</v>
      </c>
      <c r="B8" s="50">
        <f>'Dec 2016'!D10</f>
        <v>5258.2</v>
      </c>
    </row>
    <row r="9" spans="1:5" ht="12.75" customHeight="1">
      <c r="A9" s="49" t="s">
        <v>200</v>
      </c>
      <c r="B9" s="51">
        <f>'Dec 2016'!D54</f>
        <v>93.45</v>
      </c>
      <c r="E9" s="52"/>
    </row>
    <row r="10" spans="1:2" ht="18" customHeight="1">
      <c r="A10" s="53" t="s">
        <v>181</v>
      </c>
      <c r="B10" s="54">
        <f>SUM(B7:B9)</f>
        <v>27405.800000000003</v>
      </c>
    </row>
    <row r="11" spans="1:2" ht="12.75" customHeight="1">
      <c r="A11" s="52"/>
      <c r="B11" s="55"/>
    </row>
    <row r="12" spans="1:2" ht="12.75" customHeight="1">
      <c r="A12" s="47" t="s">
        <v>182</v>
      </c>
      <c r="B12" s="56"/>
    </row>
    <row r="13" spans="1:2" ht="12.75" customHeight="1">
      <c r="A13" s="49" t="s">
        <v>201</v>
      </c>
      <c r="B13" s="74">
        <f>'Dec 2016'!D175</f>
        <v>15588.09</v>
      </c>
    </row>
    <row r="14" spans="1:2" ht="19.5" customHeight="1">
      <c r="A14" s="47" t="s">
        <v>185</v>
      </c>
      <c r="B14" s="75">
        <f>SUM(B13:B13)</f>
        <v>15588.09</v>
      </c>
    </row>
    <row r="15" spans="1:3" ht="15.75" customHeight="1">
      <c r="A15" s="47" t="s">
        <v>186</v>
      </c>
      <c r="B15" s="76"/>
      <c r="C15" s="75">
        <f>B10-B14</f>
        <v>11817.710000000003</v>
      </c>
    </row>
    <row r="16" spans="1:3" ht="12.75" customHeight="1">
      <c r="A16" s="52"/>
      <c r="B16" s="62"/>
      <c r="C16" s="65"/>
    </row>
    <row r="17" spans="1:7" ht="12.75" customHeight="1">
      <c r="A17" s="52"/>
      <c r="B17" s="64"/>
      <c r="G17" s="66"/>
    </row>
    <row r="18" spans="1:3" ht="12.75" customHeight="1">
      <c r="A18" s="45" t="s">
        <v>202</v>
      </c>
      <c r="B18" s="62"/>
      <c r="C18" s="65"/>
    </row>
    <row r="19" spans="1:3" ht="12.75" customHeight="1">
      <c r="A19" s="53" t="str">
        <f>'Fire Tax -Dec'!A24</f>
        <v>Month End, December 31, 2016</v>
      </c>
      <c r="B19" s="62"/>
      <c r="C19" s="77"/>
    </row>
    <row r="20" spans="1:3" ht="12.75" customHeight="1">
      <c r="A20" s="61" t="str">
        <f>'Fire Tax -Dec'!A25</f>
        <v>Cash, Balance @ 12/31/16 - per general ledger</v>
      </c>
      <c r="B20" s="64"/>
      <c r="C20" s="78">
        <f>'BS -Dec'!F15</f>
        <v>26755.1</v>
      </c>
    </row>
    <row r="21" spans="1:3" ht="15" customHeight="1">
      <c r="A21" s="61" t="s">
        <v>203</v>
      </c>
      <c r="C21" s="78"/>
    </row>
    <row r="22" spans="1:3" ht="17.25" customHeight="1">
      <c r="A22" s="61" t="s">
        <v>204</v>
      </c>
      <c r="C22" s="79"/>
    </row>
    <row r="23" spans="1:4" ht="17.25" customHeight="1">
      <c r="A23" s="61" t="str">
        <f>'Fire Tax -Dec'!A28</f>
        <v>Adjusted Cash, Balance @ 12/31/2016</v>
      </c>
      <c r="C23" s="78">
        <f>C20+C21+C22</f>
        <v>26755.1</v>
      </c>
      <c r="D23" s="40" t="s">
        <v>205</v>
      </c>
    </row>
    <row r="24" spans="1:3" ht="12.75" customHeight="1">
      <c r="A24" s="80" t="s">
        <v>191</v>
      </c>
      <c r="B24" s="69"/>
      <c r="C24" s="56"/>
    </row>
    <row r="25" spans="1:3" ht="12.75" customHeight="1">
      <c r="A25" s="61" t="s">
        <v>192</v>
      </c>
      <c r="B25" s="78">
        <f>14958.55-21.16</f>
        <v>14937.39</v>
      </c>
      <c r="C25" s="56"/>
    </row>
    <row r="26" spans="1:3" ht="12.75" customHeight="1">
      <c r="A26" s="61" t="s">
        <v>194</v>
      </c>
      <c r="B26" s="78">
        <f>B10</f>
        <v>27405.800000000003</v>
      </c>
      <c r="C26" s="56"/>
    </row>
    <row r="27" spans="1:2" ht="12.75" customHeight="1">
      <c r="A27" s="61" t="s">
        <v>206</v>
      </c>
      <c r="B27" s="78">
        <f>-B14</f>
        <v>-15588.09</v>
      </c>
    </row>
    <row r="28" spans="1:2" ht="12.75" customHeight="1">
      <c r="A28" s="61" t="s">
        <v>196</v>
      </c>
      <c r="B28" s="78">
        <f>B25+B26+B27</f>
        <v>26755.100000000002</v>
      </c>
    </row>
    <row r="29" spans="1:2" ht="12.75" customHeight="1">
      <c r="A29" s="71" t="s">
        <v>5</v>
      </c>
      <c r="B29" s="78">
        <f>C23-B28</f>
        <v>0</v>
      </c>
    </row>
    <row r="30" ht="12.75" customHeight="1">
      <c r="A30" s="52"/>
    </row>
    <row r="31" spans="1:3" ht="12.75" customHeight="1">
      <c r="A31" s="52"/>
      <c r="C31" s="81"/>
    </row>
    <row r="32" ht="12.75" customHeight="1"/>
    <row r="33" ht="12.75" customHeight="1">
      <c r="B33" s="81"/>
    </row>
    <row r="34" ht="12.75" customHeight="1">
      <c r="B34" s="59"/>
    </row>
    <row r="35" ht="12.75" customHeight="1">
      <c r="B35" s="59"/>
    </row>
    <row r="36" ht="12.75" customHeight="1">
      <c r="B36" s="59"/>
    </row>
    <row r="37" ht="12.75" customHeight="1">
      <c r="B37" s="59"/>
    </row>
    <row r="38" spans="1:2" ht="12.75" customHeight="1">
      <c r="A38" s="52"/>
      <c r="B38" s="59"/>
    </row>
    <row r="39" spans="1:2" ht="12.75" customHeight="1">
      <c r="A39" s="52"/>
      <c r="B39" s="59"/>
    </row>
    <row r="40" spans="1:2" ht="12.75" customHeight="1">
      <c r="A40" s="52"/>
      <c r="B40" s="59"/>
    </row>
    <row r="41" ht="12.75">
      <c r="A41" s="52"/>
    </row>
    <row r="42" ht="12.75">
      <c r="A42" s="52"/>
    </row>
    <row r="43" ht="12.75">
      <c r="A43" s="52"/>
    </row>
    <row r="44" ht="12.75">
      <c r="A44" s="52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67.7109375" style="0" customWidth="1"/>
    <col min="2" max="2" width="12.140625" style="0" customWidth="1"/>
    <col min="3" max="3" width="11.7109375" style="0" customWidth="1"/>
    <col min="4" max="4" width="10.28125" style="0" customWidth="1"/>
    <col min="5" max="5" width="40.421875" style="0" customWidth="1"/>
    <col min="6" max="6" width="11.28125" style="0" customWidth="1"/>
  </cols>
  <sheetData>
    <row r="1" spans="1:2" ht="17.25">
      <c r="A1" s="215" t="s">
        <v>170</v>
      </c>
      <c r="B1" s="216"/>
    </row>
    <row r="2" spans="1:2" ht="17.25">
      <c r="A2" s="215" t="s">
        <v>207</v>
      </c>
      <c r="B2" s="216"/>
    </row>
    <row r="3" spans="1:2" ht="17.25">
      <c r="A3" s="215" t="str">
        <f>'Liquid Fuels Dec'!A3:B3</f>
        <v>Month Ended:  December 31, 2016</v>
      </c>
      <c r="B3" s="217"/>
    </row>
    <row r="5" spans="1:2" ht="12.75" customHeight="1">
      <c r="A5" s="45" t="s">
        <v>172</v>
      </c>
      <c r="B5" s="46" t="s">
        <v>173</v>
      </c>
    </row>
    <row r="6" spans="1:2" ht="17.25" customHeight="1">
      <c r="A6" s="47" t="s">
        <v>174</v>
      </c>
      <c r="B6" s="48"/>
    </row>
    <row r="7" spans="1:2" ht="12.75" customHeight="1">
      <c r="A7" s="49" t="s">
        <v>208</v>
      </c>
      <c r="B7" s="50">
        <f>'Dec 2016'!D44</f>
        <v>36842.03</v>
      </c>
    </row>
    <row r="8" spans="1:2" ht="12.75" customHeight="1">
      <c r="A8" s="49" t="s">
        <v>209</v>
      </c>
      <c r="B8" s="50">
        <f>'Dec 2016'!D45</f>
        <v>4010.32</v>
      </c>
    </row>
    <row r="9" spans="1:2" ht="12.75" customHeight="1">
      <c r="A9" s="49" t="s">
        <v>210</v>
      </c>
      <c r="B9" s="95">
        <f>0</f>
        <v>0</v>
      </c>
    </row>
    <row r="10" spans="1:2" ht="18" customHeight="1">
      <c r="A10" s="53" t="s">
        <v>181</v>
      </c>
      <c r="B10" s="54">
        <f>SUM(B7:B9)</f>
        <v>40852.35</v>
      </c>
    </row>
    <row r="11" spans="1:2" ht="12.75" customHeight="1">
      <c r="A11" s="52"/>
      <c r="B11" s="55"/>
    </row>
    <row r="12" spans="1:2" ht="12.75" customHeight="1">
      <c r="A12" s="47" t="s">
        <v>182</v>
      </c>
      <c r="B12" s="56"/>
    </row>
    <row r="13" spans="1:2" ht="12.75" customHeight="1">
      <c r="A13" s="49" t="s">
        <v>211</v>
      </c>
      <c r="B13" s="50">
        <v>0</v>
      </c>
    </row>
    <row r="14" spans="1:2" ht="12.75" customHeight="1">
      <c r="A14" s="49" t="s">
        <v>212</v>
      </c>
      <c r="B14" s="50">
        <f>'Dec 2016'!D133</f>
        <v>44702.81</v>
      </c>
    </row>
    <row r="15" spans="1:2" ht="12.75" customHeight="1">
      <c r="A15" s="49" t="s">
        <v>213</v>
      </c>
      <c r="B15" s="50">
        <f>'Dec 2016'!D135</f>
        <v>0</v>
      </c>
    </row>
    <row r="16" spans="1:2" ht="12.75" customHeight="1">
      <c r="A16" s="49" t="s">
        <v>214</v>
      </c>
      <c r="B16" s="50">
        <f>'Dec 2016'!D134</f>
        <v>123.94</v>
      </c>
    </row>
    <row r="17" spans="1:2" ht="12.75" customHeight="1">
      <c r="A17" s="49" t="s">
        <v>215</v>
      </c>
      <c r="B17" s="50">
        <v>0</v>
      </c>
    </row>
    <row r="18" spans="1:5" ht="12.75" customHeight="1">
      <c r="A18" s="49" t="s">
        <v>216</v>
      </c>
      <c r="B18" s="89">
        <f>'Dec 2016'!D136</f>
        <v>-82</v>
      </c>
      <c r="E18" s="57"/>
    </row>
    <row r="19" spans="1:5" ht="12.75" customHeight="1">
      <c r="A19" s="49" t="s">
        <v>217</v>
      </c>
      <c r="B19" s="50"/>
      <c r="E19" s="91"/>
    </row>
    <row r="20" spans="1:5" ht="15.75" customHeight="1">
      <c r="A20" s="47" t="s">
        <v>185</v>
      </c>
      <c r="B20" s="54">
        <f>SUM(B13:B19)</f>
        <v>44744.75</v>
      </c>
      <c r="D20" s="57"/>
      <c r="E20" s="57"/>
    </row>
    <row r="21" spans="1:5" ht="18" customHeight="1">
      <c r="A21" s="47" t="s">
        <v>186</v>
      </c>
      <c r="B21" s="58">
        <f>B10-B20</f>
        <v>-3892.4000000000015</v>
      </c>
      <c r="E21" s="91"/>
    </row>
    <row r="22" spans="1:4" ht="12.75" customHeight="1">
      <c r="A22" s="52"/>
      <c r="B22" s="50"/>
      <c r="D22" s="57"/>
    </row>
    <row r="23" spans="1:5" ht="12.75" customHeight="1">
      <c r="A23" s="52"/>
      <c r="B23" s="59"/>
      <c r="E23" s="57"/>
    </row>
    <row r="24" spans="1:2" ht="12.75" customHeight="1">
      <c r="A24" s="45" t="s">
        <v>218</v>
      </c>
      <c r="B24" s="59"/>
    </row>
    <row r="25" spans="1:2" ht="12.75" customHeight="1">
      <c r="A25" s="53" t="str">
        <f>'Liquid Fuels Dec'!A19</f>
        <v>Month End, December 31, 2016</v>
      </c>
      <c r="B25" s="60"/>
    </row>
    <row r="26" spans="1:3" ht="12.75" customHeight="1">
      <c r="A26" s="61" t="str">
        <f>'Fire Tax -Dec'!A25</f>
        <v>Cash, Balance @ 12/31/16 - per general ledger</v>
      </c>
      <c r="B26" s="62"/>
      <c r="C26" s="65">
        <f>'BS -Dec'!F21</f>
        <v>6887.24</v>
      </c>
    </row>
    <row r="27" spans="1:7" ht="12.75" customHeight="1">
      <c r="A27" s="61" t="s">
        <v>219</v>
      </c>
      <c r="B27" s="64"/>
      <c r="C27" s="65">
        <f>-2840.94-0.06-28.1</f>
        <v>-2869.1</v>
      </c>
      <c r="G27" s="66"/>
    </row>
    <row r="28" spans="1:3" ht="12.75" customHeight="1">
      <c r="A28" s="61" t="s">
        <v>220</v>
      </c>
      <c r="B28" s="62"/>
      <c r="C28" s="67"/>
    </row>
    <row r="29" spans="1:4" ht="12.75" customHeight="1">
      <c r="A29" s="61" t="str">
        <f>'Liquid Fuels Dec'!A23</f>
        <v>Adjusted Cash, Balance @ 12/31/2016</v>
      </c>
      <c r="B29" s="64"/>
      <c r="C29" s="105">
        <f>SUM(C26:C28)</f>
        <v>4018.14</v>
      </c>
      <c r="D29" s="40"/>
    </row>
    <row r="30" spans="1:3" ht="12.75" customHeight="1">
      <c r="A30" s="61" t="s">
        <v>191</v>
      </c>
      <c r="B30" s="64"/>
      <c r="C30" s="56"/>
    </row>
    <row r="31" spans="1:3" ht="12.75" customHeight="1">
      <c r="A31" s="61" t="s">
        <v>192</v>
      </c>
      <c r="B31" s="103">
        <v>7910.54</v>
      </c>
      <c r="C31" s="56"/>
    </row>
    <row r="32" spans="1:3" ht="12.75" customHeight="1">
      <c r="A32" s="61" t="s">
        <v>221</v>
      </c>
      <c r="B32" s="82">
        <v>0</v>
      </c>
      <c r="C32" s="56"/>
    </row>
    <row r="33" spans="1:3" ht="12.75" customHeight="1">
      <c r="A33" s="61" t="s">
        <v>194</v>
      </c>
      <c r="B33" s="82">
        <f>B10</f>
        <v>40852.35</v>
      </c>
      <c r="C33" s="56"/>
    </row>
    <row r="34" spans="1:3" ht="12.75" customHeight="1">
      <c r="A34" s="61" t="s">
        <v>206</v>
      </c>
      <c r="B34" s="83">
        <f>-B20</f>
        <v>-44744.75</v>
      </c>
      <c r="C34" s="56"/>
    </row>
    <row r="35" spans="1:4" ht="12.75" customHeight="1">
      <c r="A35" s="61" t="s">
        <v>196</v>
      </c>
      <c r="B35" s="83">
        <f>B31+B32+B33+B34</f>
        <v>4018.1399999999994</v>
      </c>
      <c r="C35" s="56"/>
      <c r="D35" s="66"/>
    </row>
    <row r="36" spans="1:3" ht="12.75" customHeight="1">
      <c r="A36" s="71" t="s">
        <v>5</v>
      </c>
      <c r="B36" s="104">
        <f>+C29-B35</f>
        <v>0</v>
      </c>
      <c r="C36" s="56"/>
    </row>
    <row r="37" spans="1:4" ht="12.75" customHeight="1">
      <c r="A37" s="52"/>
      <c r="B37" s="72"/>
      <c r="D37" s="63"/>
    </row>
    <row r="38" spans="1:2" ht="12.75" customHeight="1">
      <c r="A38" s="52"/>
      <c r="B38" s="59"/>
    </row>
    <row r="39" spans="1:4" ht="12.75" customHeight="1">
      <c r="A39" s="108"/>
      <c r="C39" s="81"/>
      <c r="D39" s="66"/>
    </row>
    <row r="40" ht="12.75" customHeight="1">
      <c r="A40" s="108"/>
    </row>
    <row r="41" ht="12.75" customHeight="1">
      <c r="D41" s="63"/>
    </row>
    <row r="42" ht="12.75" customHeight="1"/>
    <row r="43" ht="12.75" customHeight="1"/>
    <row r="44" ht="12.75" customHeight="1"/>
    <row r="45" spans="1:2" ht="12.75" customHeight="1">
      <c r="A45" s="52"/>
      <c r="B45" s="59"/>
    </row>
    <row r="46" spans="1:2" ht="12.75" customHeight="1">
      <c r="A46" s="52"/>
      <c r="B46" s="59"/>
    </row>
    <row r="47" spans="1:2" ht="12.75" customHeight="1">
      <c r="A47" s="52"/>
      <c r="B47" s="59"/>
    </row>
    <row r="48" spans="1:2" ht="12.75" customHeight="1">
      <c r="A48" s="52"/>
      <c r="B48" s="59"/>
    </row>
    <row r="49" spans="1:2" ht="12.75" customHeight="1">
      <c r="A49" s="52"/>
      <c r="B49" s="59"/>
    </row>
    <row r="50" spans="1:2" ht="12.75" customHeight="1">
      <c r="A50" s="52"/>
      <c r="B50" s="59"/>
    </row>
    <row r="51" spans="1:2" ht="12.75" customHeight="1">
      <c r="A51" s="52"/>
      <c r="B51" s="59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0">
      <selection activeCell="D9" sqref="D9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15" t="s">
        <v>170</v>
      </c>
      <c r="B1" s="216"/>
    </row>
    <row r="2" spans="1:2" ht="17.25">
      <c r="A2" s="215" t="s">
        <v>222</v>
      </c>
      <c r="B2" s="216"/>
    </row>
    <row r="3" spans="1:2" ht="17.25">
      <c r="A3" s="215" t="str">
        <f>'Liquid Fuels Dec'!A3:B3</f>
        <v>Month Ended:  December 31, 2016</v>
      </c>
      <c r="B3" s="217"/>
    </row>
    <row r="5" spans="1:2" ht="12.75" customHeight="1">
      <c r="A5" s="45" t="s">
        <v>172</v>
      </c>
      <c r="B5" s="46" t="s">
        <v>173</v>
      </c>
    </row>
    <row r="6" spans="1:2" ht="17.25" customHeight="1">
      <c r="A6" s="47" t="s">
        <v>174</v>
      </c>
      <c r="B6" s="48"/>
    </row>
    <row r="7" spans="1:2" ht="17.25" customHeight="1">
      <c r="A7" s="49" t="s">
        <v>606</v>
      </c>
      <c r="B7" s="48">
        <f>8.53</f>
        <v>8.53</v>
      </c>
    </row>
    <row r="8" spans="1:2" ht="12.75" customHeight="1">
      <c r="A8" s="49" t="s">
        <v>223</v>
      </c>
      <c r="B8" s="89">
        <f>200+2000</f>
        <v>2200</v>
      </c>
    </row>
    <row r="9" spans="1:2" ht="18" customHeight="1">
      <c r="A9" s="53" t="s">
        <v>181</v>
      </c>
      <c r="B9" s="54">
        <f>SUM(B7:B8)</f>
        <v>2208.53</v>
      </c>
    </row>
    <row r="10" spans="1:2" ht="12.75" customHeight="1">
      <c r="A10" s="52"/>
      <c r="B10" s="55"/>
    </row>
    <row r="11" spans="1:2" ht="12.75" customHeight="1">
      <c r="A11" s="47" t="s">
        <v>182</v>
      </c>
      <c r="B11" s="56"/>
    </row>
    <row r="12" spans="1:2" ht="12.75" customHeight="1">
      <c r="A12" s="49" t="s">
        <v>224</v>
      </c>
      <c r="B12" s="50">
        <v>0</v>
      </c>
    </row>
    <row r="13" spans="1:4" ht="15.75" customHeight="1">
      <c r="A13" s="47" t="s">
        <v>185</v>
      </c>
      <c r="B13" s="54">
        <f>SUM(B12:B12)</f>
        <v>0</v>
      </c>
      <c r="D13" s="57"/>
    </row>
    <row r="14" spans="1:2" ht="18" customHeight="1">
      <c r="A14" s="47" t="s">
        <v>186</v>
      </c>
      <c r="B14" s="58">
        <f>B9-B13</f>
        <v>2208.53</v>
      </c>
    </row>
    <row r="15" spans="1:2" ht="12.75" customHeight="1">
      <c r="A15" s="52"/>
      <c r="B15" s="50"/>
    </row>
    <row r="16" spans="1:2" ht="12.75" customHeight="1">
      <c r="A16" s="52"/>
      <c r="B16" s="59"/>
    </row>
    <row r="17" spans="1:2" ht="12.75" customHeight="1">
      <c r="A17" s="45" t="s">
        <v>225</v>
      </c>
      <c r="B17" s="59"/>
    </row>
    <row r="18" spans="1:2" ht="12.75" customHeight="1">
      <c r="A18" s="53" t="str">
        <f>'Solid Waste -Dec '!A25</f>
        <v>Month End, December 31, 2016</v>
      </c>
      <c r="B18" s="60"/>
    </row>
    <row r="19" spans="1:7" ht="12.75" customHeight="1">
      <c r="A19" s="61" t="str">
        <f>'Solid Waste -Dec '!A26</f>
        <v>Cash, Balance @ 12/31/16 - per general ledger</v>
      </c>
      <c r="B19" s="62"/>
      <c r="C19" s="65">
        <f>'BS -Dec'!F13</f>
        <v>26098.87</v>
      </c>
      <c r="G19" s="63"/>
    </row>
    <row r="20" spans="1:7" ht="12.75" customHeight="1">
      <c r="A20" s="61" t="s">
        <v>226</v>
      </c>
      <c r="B20" s="64"/>
      <c r="C20" s="65"/>
      <c r="G20" s="66"/>
    </row>
    <row r="21" spans="1:4" ht="12.75" customHeight="1">
      <c r="A21" s="61" t="s">
        <v>227</v>
      </c>
      <c r="B21" s="62"/>
      <c r="C21" s="67">
        <v>0</v>
      </c>
      <c r="D21" t="s">
        <v>228</v>
      </c>
    </row>
    <row r="22" spans="1:4" ht="12.75" customHeight="1">
      <c r="A22" s="61" t="str">
        <f>'Solid Waste -Dec '!A29</f>
        <v>Adjusted Cash, Balance @ 12/31/2016</v>
      </c>
      <c r="B22" s="64"/>
      <c r="C22" s="68">
        <f>SUM(C19:C21)</f>
        <v>26098.87</v>
      </c>
      <c r="D22" s="40" t="s">
        <v>229</v>
      </c>
    </row>
    <row r="23" spans="1:3" ht="12.75" customHeight="1">
      <c r="A23" s="61" t="s">
        <v>191</v>
      </c>
      <c r="B23" s="64"/>
      <c r="C23" s="56"/>
    </row>
    <row r="24" spans="1:3" ht="12.75" customHeight="1">
      <c r="A24" s="61" t="s">
        <v>192</v>
      </c>
      <c r="B24" s="65">
        <v>23590.34</v>
      </c>
      <c r="C24" s="56"/>
    </row>
    <row r="25" spans="1:9" ht="12.75" customHeight="1">
      <c r="A25" s="61" t="s">
        <v>193</v>
      </c>
      <c r="B25" s="65">
        <v>0</v>
      </c>
      <c r="C25" s="56"/>
      <c r="I25" s="66"/>
    </row>
    <row r="26" spans="1:9" ht="12.75" customHeight="1">
      <c r="A26" s="61" t="s">
        <v>593</v>
      </c>
      <c r="B26" s="65">
        <v>300</v>
      </c>
      <c r="C26" s="56"/>
      <c r="I26" s="66"/>
    </row>
    <row r="27" spans="1:9" ht="12.75" customHeight="1">
      <c r="A27" s="61" t="s">
        <v>194</v>
      </c>
      <c r="B27" s="69">
        <f>B9</f>
        <v>2208.53</v>
      </c>
      <c r="C27" s="56"/>
      <c r="I27" s="66"/>
    </row>
    <row r="28" spans="1:9" ht="12.75" customHeight="1">
      <c r="A28" s="61" t="s">
        <v>195</v>
      </c>
      <c r="B28" s="70">
        <f>-B13</f>
        <v>0</v>
      </c>
      <c r="C28" s="56"/>
      <c r="G28" s="66"/>
      <c r="I28" s="66"/>
    </row>
    <row r="29" spans="1:9" ht="12.75" customHeight="1">
      <c r="A29" s="61" t="s">
        <v>196</v>
      </c>
      <c r="B29" s="54">
        <f>B24+B25+B27+B28+B26</f>
        <v>26098.87</v>
      </c>
      <c r="C29" s="56"/>
      <c r="I29" s="66"/>
    </row>
    <row r="30" spans="1:9" ht="12.75" customHeight="1">
      <c r="A30" s="71" t="s">
        <v>5</v>
      </c>
      <c r="B30" s="106">
        <f>C22-B29</f>
        <v>0</v>
      </c>
      <c r="C30" s="56"/>
      <c r="I30" s="66"/>
    </row>
    <row r="31" spans="1:9" ht="12.75" customHeight="1">
      <c r="A31" s="52"/>
      <c r="B31" s="72"/>
      <c r="F31" s="73"/>
      <c r="G31" s="73"/>
      <c r="H31" s="73"/>
      <c r="I31" s="66"/>
    </row>
    <row r="32" spans="1:9" ht="12.75" customHeight="1">
      <c r="A32" s="52"/>
      <c r="B32" s="59"/>
      <c r="I32" s="66"/>
    </row>
    <row r="33" spans="1:9" ht="12.75" customHeight="1">
      <c r="A33" s="108"/>
      <c r="I33" s="66"/>
    </row>
    <row r="34" ht="12.75" customHeight="1"/>
    <row r="35" ht="12.75" customHeight="1"/>
    <row r="36" ht="12.75" customHeight="1"/>
    <row r="37" ht="12.75" customHeight="1"/>
    <row r="38" ht="12.75" customHeight="1"/>
    <row r="39" spans="1:2" ht="12.75" customHeight="1">
      <c r="A39" s="52"/>
      <c r="B39" s="59"/>
    </row>
    <row r="40" spans="1:2" ht="12.75" customHeight="1">
      <c r="A40" s="52"/>
      <c r="B40" s="59"/>
    </row>
    <row r="41" spans="1:2" ht="12.75" customHeight="1">
      <c r="A41" s="52"/>
      <c r="B41" s="59"/>
    </row>
    <row r="42" spans="1:2" ht="12.75" customHeight="1">
      <c r="A42" s="52"/>
      <c r="B42" s="59"/>
    </row>
    <row r="43" spans="1:2" ht="12.75" customHeight="1">
      <c r="A43" s="52"/>
      <c r="B43" s="59"/>
    </row>
    <row r="44" spans="1:2" ht="12.75" customHeight="1">
      <c r="A44" s="52"/>
      <c r="B44" s="59"/>
    </row>
    <row r="45" spans="1:2" ht="12.75" customHeight="1">
      <c r="A45" s="52"/>
      <c r="B45" s="59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F30" sqref="F30"/>
    </sheetView>
  </sheetViews>
  <sheetFormatPr defaultColWidth="9.140625" defaultRowHeight="12.75"/>
  <cols>
    <col min="6" max="6" width="15.8515625" style="113" customWidth="1"/>
    <col min="7" max="7" width="14.57421875" style="0" customWidth="1"/>
    <col min="8" max="8" width="19.28125" style="0" customWidth="1"/>
    <col min="9" max="9" width="13.28125" style="0" customWidth="1"/>
    <col min="12" max="12" width="53.140625" style="0" bestFit="1" customWidth="1"/>
  </cols>
  <sheetData>
    <row r="1" spans="2:6" s="5" customFormat="1" ht="12.75">
      <c r="B1" s="15"/>
      <c r="E1" s="22"/>
      <c r="F1" s="84"/>
    </row>
    <row r="2" spans="2:6" s="5" customFormat="1" ht="12.75">
      <c r="B2" s="15"/>
      <c r="E2" s="22"/>
      <c r="F2" s="84"/>
    </row>
    <row r="3" spans="1:8" s="12" customFormat="1" ht="15">
      <c r="A3" s="6"/>
      <c r="B3" s="7"/>
      <c r="C3" s="8" t="s">
        <v>0</v>
      </c>
      <c r="D3" s="13"/>
      <c r="E3" s="10"/>
      <c r="F3" s="85"/>
      <c r="G3" s="94"/>
      <c r="H3" s="94"/>
    </row>
    <row r="4" spans="1:8" s="12" customFormat="1" ht="15">
      <c r="A4" s="6"/>
      <c r="B4" s="13"/>
      <c r="C4" s="8" t="s">
        <v>230</v>
      </c>
      <c r="D4" s="8"/>
      <c r="E4" s="10"/>
      <c r="F4" s="85"/>
      <c r="G4" s="94"/>
      <c r="H4" s="94"/>
    </row>
    <row r="5" spans="1:8" s="12" customFormat="1" ht="15">
      <c r="A5" s="6"/>
      <c r="B5" s="13"/>
      <c r="C5" s="8" t="s">
        <v>599</v>
      </c>
      <c r="D5" s="8"/>
      <c r="E5" s="10"/>
      <c r="F5" s="85"/>
      <c r="G5" s="94"/>
      <c r="H5" s="94"/>
    </row>
    <row r="7" ht="12.75">
      <c r="F7"/>
    </row>
    <row r="8" spans="6:9" ht="12.75">
      <c r="F8" s="88" t="s">
        <v>231</v>
      </c>
      <c r="G8" s="88" t="s">
        <v>232</v>
      </c>
      <c r="H8" s="88" t="s">
        <v>233</v>
      </c>
      <c r="I8" s="88" t="s">
        <v>234</v>
      </c>
    </row>
    <row r="9" spans="2:8" ht="12.75">
      <c r="B9" s="5" t="s">
        <v>235</v>
      </c>
      <c r="C9" s="5"/>
      <c r="D9" s="5"/>
      <c r="E9" s="5"/>
      <c r="F9" s="86">
        <f>'Balance Sheet (2)'!B9</f>
        <v>68645.81</v>
      </c>
      <c r="G9" s="96">
        <f>-G13-G21-G19</f>
        <v>19040.48</v>
      </c>
      <c r="H9" s="86">
        <f>F9+G9</f>
        <v>87686.29</v>
      </c>
    </row>
    <row r="10" spans="2:7" ht="12.75">
      <c r="B10" s="5"/>
      <c r="C10" s="5"/>
      <c r="D10" s="5"/>
      <c r="E10" s="5"/>
      <c r="F10" s="86"/>
      <c r="G10" s="92"/>
    </row>
    <row r="11" spans="2:8" ht="12.75">
      <c r="B11" s="5" t="s">
        <v>236</v>
      </c>
      <c r="C11" s="5"/>
      <c r="D11" s="5"/>
      <c r="E11" s="5"/>
      <c r="F11" s="86">
        <f>'Balance Sheet (2)'!B11</f>
        <v>19859.44</v>
      </c>
      <c r="G11" s="92"/>
      <c r="H11" s="86">
        <f>F11+G11</f>
        <v>19859.44</v>
      </c>
    </row>
    <row r="12" spans="2:8" ht="12.75">
      <c r="B12" s="5"/>
      <c r="C12" s="5"/>
      <c r="D12" s="5"/>
      <c r="E12" s="5"/>
      <c r="F12" s="86"/>
      <c r="G12" s="92"/>
      <c r="H12" s="86"/>
    </row>
    <row r="13" spans="2:11" ht="12.75">
      <c r="B13" s="5" t="s">
        <v>592</v>
      </c>
      <c r="C13" s="5"/>
      <c r="D13" s="5"/>
      <c r="E13" s="5"/>
      <c r="F13" s="86">
        <f>'Balance Sheet (2)'!B10</f>
        <v>26098.87</v>
      </c>
      <c r="G13" s="96">
        <f>'[1]Playground-Oct'!C20</f>
        <v>0</v>
      </c>
      <c r="H13" s="86">
        <f>F13+G13</f>
        <v>26098.87</v>
      </c>
      <c r="I13" s="40" t="s">
        <v>229</v>
      </c>
      <c r="K13" s="57"/>
    </row>
    <row r="14" spans="2:8" ht="12.75">
      <c r="B14" s="5"/>
      <c r="C14" s="5"/>
      <c r="D14" s="5"/>
      <c r="E14" s="5"/>
      <c r="F14" s="86"/>
      <c r="G14" s="92"/>
      <c r="H14" s="86"/>
    </row>
    <row r="15" spans="2:11" ht="12.75">
      <c r="B15" s="5" t="s">
        <v>237</v>
      </c>
      <c r="C15" s="5"/>
      <c r="D15" s="5"/>
      <c r="E15" s="5"/>
      <c r="F15" s="86">
        <f>'Balance Sheet (2)'!B19</f>
        <v>26755.1</v>
      </c>
      <c r="G15" s="96"/>
      <c r="H15" s="86">
        <f>F15+G15</f>
        <v>26755.1</v>
      </c>
      <c r="I15" s="40" t="s">
        <v>205</v>
      </c>
      <c r="K15" s="57"/>
    </row>
    <row r="16" spans="2:8" ht="12.75">
      <c r="B16" s="5"/>
      <c r="C16" s="5"/>
      <c r="D16" s="5"/>
      <c r="E16" s="5"/>
      <c r="F16" s="86"/>
      <c r="G16" s="92"/>
      <c r="H16" s="86"/>
    </row>
    <row r="17" spans="2:8" ht="12.75">
      <c r="B17" s="5" t="s">
        <v>238</v>
      </c>
      <c r="C17" s="5"/>
      <c r="D17" s="5"/>
      <c r="E17" s="5"/>
      <c r="F17" s="86">
        <f>'Balance Sheet (2)'!B16</f>
        <v>49549.17</v>
      </c>
      <c r="G17" s="96"/>
      <c r="H17" s="86">
        <f>F17+G17</f>
        <v>49549.17</v>
      </c>
    </row>
    <row r="18" spans="2:8" ht="12.75">
      <c r="B18" s="5"/>
      <c r="C18" s="5"/>
      <c r="D18" s="5"/>
      <c r="E18" s="5"/>
      <c r="F18" s="86"/>
      <c r="G18" s="92"/>
      <c r="H18" s="86"/>
    </row>
    <row r="19" spans="2:9" ht="12.75">
      <c r="B19" s="5" t="s">
        <v>239</v>
      </c>
      <c r="C19" s="5"/>
      <c r="D19" s="5"/>
      <c r="E19" s="5"/>
      <c r="F19" s="86">
        <f>'Balance Sheet (2)'!B15</f>
        <v>554.9</v>
      </c>
      <c r="G19" s="96">
        <f>'[1]Fire Tax -Oct'!C25</f>
        <v>-14089.63</v>
      </c>
      <c r="H19" s="98">
        <f>F19+G19</f>
        <v>-13534.73</v>
      </c>
      <c r="I19" s="40" t="s">
        <v>190</v>
      </c>
    </row>
    <row r="20" spans="2:8" ht="12.75">
      <c r="B20" s="5"/>
      <c r="C20" s="5"/>
      <c r="D20" s="5"/>
      <c r="E20" s="5"/>
      <c r="F20" s="86"/>
      <c r="G20" s="92"/>
      <c r="H20" s="97"/>
    </row>
    <row r="21" spans="2:9" ht="12.75">
      <c r="B21" s="5" t="s">
        <v>240</v>
      </c>
      <c r="C21" s="5"/>
      <c r="D21" s="5"/>
      <c r="E21" s="5"/>
      <c r="F21" s="84">
        <f>'Balance Sheet (2)'!B17</f>
        <v>6887.24</v>
      </c>
      <c r="G21" s="96">
        <f>'[1]Solid Waste -Oct'!C27</f>
        <v>-4950.849999999999</v>
      </c>
      <c r="H21" s="97">
        <f>F21+G21</f>
        <v>1936.3900000000003</v>
      </c>
      <c r="I21" s="40" t="s">
        <v>241</v>
      </c>
    </row>
    <row r="22" spans="2:8" ht="12.75">
      <c r="B22" s="5"/>
      <c r="C22" s="5"/>
      <c r="D22" s="5"/>
      <c r="E22" s="5"/>
      <c r="F22" s="86"/>
      <c r="G22" s="92"/>
      <c r="H22" s="86"/>
    </row>
    <row r="23" spans="2:8" ht="12.75">
      <c r="B23" s="5" t="s">
        <v>242</v>
      </c>
      <c r="C23" s="5"/>
      <c r="D23" s="5"/>
      <c r="E23" s="5"/>
      <c r="F23" s="87">
        <f>'Balance Sheet (2)'!B14</f>
        <v>-0.45</v>
      </c>
      <c r="G23" s="93"/>
      <c r="H23" s="87">
        <f>F23+G23</f>
        <v>-0.45</v>
      </c>
    </row>
    <row r="24" spans="2:7" ht="12.75">
      <c r="B24" s="5"/>
      <c r="C24" s="5"/>
      <c r="D24" s="5"/>
      <c r="E24" s="5"/>
      <c r="F24" s="86"/>
      <c r="G24" s="92"/>
    </row>
    <row r="25" spans="2:8" ht="12.75">
      <c r="B25" s="5" t="s">
        <v>173</v>
      </c>
      <c r="C25" s="5"/>
      <c r="D25" s="5"/>
      <c r="E25" s="5"/>
      <c r="F25" s="101">
        <f>SUM(F9:F23)</f>
        <v>198350.08</v>
      </c>
      <c r="G25" s="101">
        <f>SUM(G9:G23)</f>
        <v>0</v>
      </c>
      <c r="H25" s="101">
        <f>SUM(H9:H24)</f>
        <v>198350.08</v>
      </c>
    </row>
    <row r="26" ht="12.75">
      <c r="F26" s="86"/>
    </row>
    <row r="27" ht="12.75">
      <c r="F27" s="86"/>
    </row>
    <row r="28" ht="12.75">
      <c r="F28" s="86"/>
    </row>
    <row r="29" ht="12.75">
      <c r="F29" s="112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13">
      <selection activeCell="A1" sqref="A1:B1"/>
    </sheetView>
  </sheetViews>
  <sheetFormatPr defaultColWidth="9.140625" defaultRowHeight="12.75"/>
  <cols>
    <col min="1" max="1" width="47.28125" style="213" customWidth="1"/>
    <col min="2" max="2" width="16.28125" style="213" customWidth="1"/>
    <col min="3" max="16384" width="8.8515625" style="213" customWidth="1"/>
  </cols>
  <sheetData>
    <row r="1" spans="1:2" ht="17.25">
      <c r="A1" s="220" t="s">
        <v>170</v>
      </c>
      <c r="B1" s="219"/>
    </row>
    <row r="2" spans="1:2" ht="17.25">
      <c r="A2" s="220" t="s">
        <v>515</v>
      </c>
      <c r="B2" s="219"/>
    </row>
    <row r="3" spans="1:2" ht="14.25">
      <c r="A3" s="221" t="s">
        <v>599</v>
      </c>
      <c r="B3" s="219"/>
    </row>
    <row r="5" spans="1:2" ht="14.25">
      <c r="A5" s="214"/>
      <c r="B5" s="204" t="s">
        <v>173</v>
      </c>
    </row>
    <row r="6" spans="1:2" ht="14.25">
      <c r="A6" s="205" t="s">
        <v>517</v>
      </c>
      <c r="B6" s="206"/>
    </row>
    <row r="7" spans="1:2" ht="14.25">
      <c r="A7" s="205" t="s">
        <v>518</v>
      </c>
      <c r="B7" s="206"/>
    </row>
    <row r="8" spans="1:2" ht="14.25">
      <c r="A8" s="205" t="s">
        <v>519</v>
      </c>
      <c r="B8" s="206"/>
    </row>
    <row r="9" spans="1:2" ht="14.25">
      <c r="A9" s="205" t="s">
        <v>520</v>
      </c>
      <c r="B9" s="207">
        <f>68645.81</f>
        <v>68645.81</v>
      </c>
    </row>
    <row r="10" spans="1:2" ht="14.25">
      <c r="A10" s="205" t="s">
        <v>521</v>
      </c>
      <c r="B10" s="207">
        <f>26098.87</f>
        <v>26098.87</v>
      </c>
    </row>
    <row r="11" spans="1:2" ht="14.25">
      <c r="A11" s="205" t="s">
        <v>522</v>
      </c>
      <c r="B11" s="207">
        <f>19859.44</f>
        <v>19859.44</v>
      </c>
    </row>
    <row r="12" spans="1:2" ht="14.25">
      <c r="A12" s="205" t="s">
        <v>523</v>
      </c>
      <c r="B12" s="207">
        <f>0</f>
        <v>0</v>
      </c>
    </row>
    <row r="13" spans="1:2" ht="14.25">
      <c r="A13" s="205" t="s">
        <v>524</v>
      </c>
      <c r="B13" s="208">
        <f>(B11)+(B12)</f>
        <v>19859.44</v>
      </c>
    </row>
    <row r="14" spans="1:2" ht="14.25">
      <c r="A14" s="205" t="s">
        <v>525</v>
      </c>
      <c r="B14" s="207">
        <f>-0.45</f>
        <v>-0.45</v>
      </c>
    </row>
    <row r="15" spans="1:2" ht="14.25">
      <c r="A15" s="205" t="s">
        <v>526</v>
      </c>
      <c r="B15" s="207">
        <f>554.9</f>
        <v>554.9</v>
      </c>
    </row>
    <row r="16" spans="1:2" ht="14.25">
      <c r="A16" s="205" t="s">
        <v>527</v>
      </c>
      <c r="B16" s="207">
        <f>49549.17</f>
        <v>49549.17</v>
      </c>
    </row>
    <row r="17" spans="1:2" ht="14.25">
      <c r="A17" s="205" t="s">
        <v>528</v>
      </c>
      <c r="B17" s="207">
        <f>6887.24</f>
        <v>6887.24</v>
      </c>
    </row>
    <row r="18" spans="1:2" ht="14.25">
      <c r="A18" s="205" t="s">
        <v>529</v>
      </c>
      <c r="B18" s="207">
        <f>0</f>
        <v>0</v>
      </c>
    </row>
    <row r="19" spans="1:2" ht="14.25">
      <c r="A19" s="205" t="s">
        <v>530</v>
      </c>
      <c r="B19" s="207">
        <f>26755.1</f>
        <v>26755.1</v>
      </c>
    </row>
    <row r="20" spans="1:2" ht="14.25">
      <c r="A20" s="205" t="s">
        <v>531</v>
      </c>
      <c r="B20" s="207">
        <f>0</f>
        <v>0</v>
      </c>
    </row>
    <row r="21" spans="1:2" ht="14.25">
      <c r="A21" s="205" t="s">
        <v>532</v>
      </c>
      <c r="B21" s="208">
        <f>(((((((((B9)+(B10))+(B13))+(B14))+(B15))+(B16))+(B17))+(B18))+(B19))+(B20)</f>
        <v>198350.08</v>
      </c>
    </row>
    <row r="22" spans="1:2" ht="14.25">
      <c r="A22" s="205" t="s">
        <v>533</v>
      </c>
      <c r="B22" s="206"/>
    </row>
    <row r="23" spans="1:2" ht="14.25">
      <c r="A23" s="205" t="s">
        <v>534</v>
      </c>
      <c r="B23" s="207">
        <f>849.55</f>
        <v>849.55</v>
      </c>
    </row>
    <row r="24" spans="1:2" ht="14.25">
      <c r="A24" s="205" t="s">
        <v>535</v>
      </c>
      <c r="B24" s="207">
        <f>1252.05</f>
        <v>1252.05</v>
      </c>
    </row>
    <row r="25" spans="1:2" ht="14.25">
      <c r="A25" s="205" t="s">
        <v>536</v>
      </c>
      <c r="B25" s="207">
        <f>-1394.48</f>
        <v>-1394.48</v>
      </c>
    </row>
    <row r="26" spans="1:2" ht="14.25">
      <c r="A26" s="205" t="s">
        <v>537</v>
      </c>
      <c r="B26" s="207">
        <f>3381.44</f>
        <v>3381.44</v>
      </c>
    </row>
    <row r="27" spans="1:2" ht="14.25">
      <c r="A27" s="205" t="s">
        <v>538</v>
      </c>
      <c r="B27" s="207">
        <f>0</f>
        <v>0</v>
      </c>
    </row>
    <row r="28" spans="1:2" ht="14.25">
      <c r="A28" s="205" t="s">
        <v>539</v>
      </c>
      <c r="B28" s="207">
        <f>-126.31</f>
        <v>-126.31</v>
      </c>
    </row>
    <row r="29" spans="1:2" ht="14.25">
      <c r="A29" s="205" t="s">
        <v>540</v>
      </c>
      <c r="B29" s="207">
        <f>0</f>
        <v>0</v>
      </c>
    </row>
    <row r="30" spans="1:2" ht="14.25">
      <c r="A30" s="205" t="s">
        <v>541</v>
      </c>
      <c r="B30" s="207">
        <f>23292.27</f>
        <v>23292.27</v>
      </c>
    </row>
    <row r="31" spans="1:2" ht="14.25">
      <c r="A31" s="205" t="s">
        <v>542</v>
      </c>
      <c r="B31" s="207">
        <f>-849.55</f>
        <v>-849.55</v>
      </c>
    </row>
    <row r="32" spans="1:2" ht="14.25">
      <c r="A32" s="205" t="s">
        <v>543</v>
      </c>
      <c r="B32" s="208">
        <f>((((((((B23)+(B24))+(B25))+(B26))+(B27))+(B28))+(B29))+(B30))+(B31)</f>
        <v>26404.97</v>
      </c>
    </row>
    <row r="33" spans="1:2" ht="14.25">
      <c r="A33" s="205" t="s">
        <v>600</v>
      </c>
      <c r="B33" s="206"/>
    </row>
    <row r="34" spans="1:2" ht="14.25">
      <c r="A34" s="205" t="s">
        <v>545</v>
      </c>
      <c r="B34" s="207">
        <f>873.09</f>
        <v>873.09</v>
      </c>
    </row>
    <row r="35" spans="1:2" ht="14.25">
      <c r="A35" s="205" t="s">
        <v>601</v>
      </c>
      <c r="B35" s="208">
        <f>B34</f>
        <v>873.09</v>
      </c>
    </row>
    <row r="36" spans="1:2" ht="14.25">
      <c r="A36" s="205" t="s">
        <v>547</v>
      </c>
      <c r="B36" s="208">
        <f>((B21)+(B32))+(B35)</f>
        <v>225628.13999999998</v>
      </c>
    </row>
    <row r="37" spans="1:2" ht="14.25">
      <c r="A37" s="205" t="s">
        <v>548</v>
      </c>
      <c r="B37" s="206"/>
    </row>
    <row r="38" spans="1:2" ht="14.25">
      <c r="A38" s="205" t="s">
        <v>549</v>
      </c>
      <c r="B38" s="207">
        <f>0</f>
        <v>0</v>
      </c>
    </row>
    <row r="39" spans="1:2" ht="14.25">
      <c r="A39" s="205" t="s">
        <v>550</v>
      </c>
      <c r="B39" s="207">
        <f>0</f>
        <v>0</v>
      </c>
    </row>
    <row r="40" spans="1:2" ht="14.25">
      <c r="A40" s="205" t="s">
        <v>551</v>
      </c>
      <c r="B40" s="208">
        <f>(B38)+(B39)</f>
        <v>0</v>
      </c>
    </row>
    <row r="41" spans="1:2" ht="14.25">
      <c r="A41" s="205" t="s">
        <v>552</v>
      </c>
      <c r="B41" s="207">
        <f>0</f>
        <v>0</v>
      </c>
    </row>
    <row r="42" spans="1:2" ht="14.25">
      <c r="A42" s="205" t="s">
        <v>553</v>
      </c>
      <c r="B42" s="207">
        <f>0</f>
        <v>0</v>
      </c>
    </row>
    <row r="43" spans="1:2" ht="14.25">
      <c r="A43" s="205" t="s">
        <v>554</v>
      </c>
      <c r="B43" s="208">
        <f>((B40)+(B41))+(B42)</f>
        <v>0</v>
      </c>
    </row>
    <row r="44" spans="1:2" ht="14.25">
      <c r="A44" s="205" t="s">
        <v>555</v>
      </c>
      <c r="B44" s="206"/>
    </row>
    <row r="45" spans="1:2" ht="14.25">
      <c r="A45" s="205" t="s">
        <v>556</v>
      </c>
      <c r="B45" s="207">
        <f>0</f>
        <v>0</v>
      </c>
    </row>
    <row r="46" spans="1:2" ht="14.25">
      <c r="A46" s="205" t="s">
        <v>557</v>
      </c>
      <c r="B46" s="207">
        <f>0</f>
        <v>0</v>
      </c>
    </row>
    <row r="47" spans="1:2" ht="14.25">
      <c r="A47" s="205" t="s">
        <v>558</v>
      </c>
      <c r="B47" s="208">
        <f>(B45)+(B46)</f>
        <v>0</v>
      </c>
    </row>
    <row r="48" spans="1:2" ht="14.25">
      <c r="A48" s="205" t="s">
        <v>559</v>
      </c>
      <c r="B48" s="208">
        <f>((B36)+(B43))+(B47)</f>
        <v>225628.13999999998</v>
      </c>
    </row>
    <row r="49" spans="1:2" ht="14.25">
      <c r="A49" s="205" t="s">
        <v>560</v>
      </c>
      <c r="B49" s="206"/>
    </row>
    <row r="50" spans="1:2" ht="14.25">
      <c r="A50" s="205" t="s">
        <v>561</v>
      </c>
      <c r="B50" s="206"/>
    </row>
    <row r="51" spans="1:2" ht="14.25">
      <c r="A51" s="205" t="s">
        <v>562</v>
      </c>
      <c r="B51" s="206"/>
    </row>
    <row r="52" spans="1:2" ht="14.25">
      <c r="A52" s="205" t="s">
        <v>563</v>
      </c>
      <c r="B52" s="206"/>
    </row>
    <row r="53" spans="1:2" ht="14.25">
      <c r="A53" s="205" t="s">
        <v>564</v>
      </c>
      <c r="B53" s="207">
        <f>88.28</f>
        <v>88.28</v>
      </c>
    </row>
    <row r="54" spans="1:2" ht="14.25">
      <c r="A54" s="205" t="s">
        <v>565</v>
      </c>
      <c r="B54" s="208">
        <f>B53</f>
        <v>88.28</v>
      </c>
    </row>
    <row r="55" spans="1:2" ht="14.25">
      <c r="A55" s="205" t="s">
        <v>566</v>
      </c>
      <c r="B55" s="206"/>
    </row>
    <row r="56" spans="1:2" ht="14.25">
      <c r="A56" s="205" t="s">
        <v>567</v>
      </c>
      <c r="B56" s="207">
        <f>-106.89</f>
        <v>-106.89</v>
      </c>
    </row>
    <row r="57" spans="1:2" ht="14.25">
      <c r="A57" s="205" t="s">
        <v>568</v>
      </c>
      <c r="B57" s="207">
        <f>-84752.05</f>
        <v>-84752.05</v>
      </c>
    </row>
    <row r="58" spans="1:2" ht="14.25">
      <c r="A58" s="205" t="s">
        <v>569</v>
      </c>
      <c r="B58" s="207">
        <f>1304.67</f>
        <v>1304.67</v>
      </c>
    </row>
    <row r="59" spans="1:2" ht="14.25">
      <c r="A59" s="205" t="s">
        <v>570</v>
      </c>
      <c r="B59" s="207">
        <f>35900.23</f>
        <v>35900.23</v>
      </c>
    </row>
    <row r="60" spans="1:2" ht="14.25">
      <c r="A60" s="205" t="s">
        <v>571</v>
      </c>
      <c r="B60" s="207">
        <f>17338</f>
        <v>17338</v>
      </c>
    </row>
    <row r="61" spans="1:2" ht="14.25">
      <c r="A61" s="205" t="s">
        <v>572</v>
      </c>
      <c r="B61" s="207">
        <f>0.88</f>
        <v>0.88</v>
      </c>
    </row>
    <row r="62" spans="1:2" ht="14.25">
      <c r="A62" s="205" t="s">
        <v>573</v>
      </c>
      <c r="B62" s="207">
        <f>322.68</f>
        <v>322.68</v>
      </c>
    </row>
    <row r="63" spans="1:2" ht="14.25">
      <c r="A63" s="205" t="s">
        <v>574</v>
      </c>
      <c r="B63" s="207">
        <f>-8.8</f>
        <v>-8.8</v>
      </c>
    </row>
    <row r="64" spans="1:2" ht="14.25">
      <c r="A64" s="205" t="s">
        <v>575</v>
      </c>
      <c r="B64" s="207">
        <f>0</f>
        <v>0</v>
      </c>
    </row>
    <row r="65" spans="1:2" ht="14.25">
      <c r="A65" s="205" t="s">
        <v>576</v>
      </c>
      <c r="B65" s="207">
        <f>43.55</f>
        <v>43.55</v>
      </c>
    </row>
    <row r="66" spans="1:2" ht="14.25">
      <c r="A66" s="205" t="s">
        <v>577</v>
      </c>
      <c r="B66" s="207">
        <f>1153.1</f>
        <v>1153.1</v>
      </c>
    </row>
    <row r="67" spans="1:2" ht="14.25">
      <c r="A67" s="205" t="s">
        <v>578</v>
      </c>
      <c r="B67" s="207">
        <f>500</f>
        <v>500</v>
      </c>
    </row>
    <row r="68" spans="1:2" ht="14.25">
      <c r="A68" s="205" t="s">
        <v>579</v>
      </c>
      <c r="B68" s="208">
        <f>(((((((((((B56)+(B57))+(B58))+(B59))+(B60))+(B61))+(B62))+(B63))+(B64))+(B65))+(B66))+(B67)</f>
        <v>-28304.63</v>
      </c>
    </row>
    <row r="69" spans="1:2" ht="14.25">
      <c r="A69" s="205" t="s">
        <v>580</v>
      </c>
      <c r="B69" s="208">
        <f>(B54)+(B68)</f>
        <v>-28216.350000000002</v>
      </c>
    </row>
    <row r="70" spans="1:2" ht="14.25">
      <c r="A70" s="205" t="s">
        <v>581</v>
      </c>
      <c r="B70" s="206"/>
    </row>
    <row r="71" spans="1:2" ht="14.25">
      <c r="A71" s="205" t="s">
        <v>582</v>
      </c>
      <c r="B71" s="207">
        <f>0</f>
        <v>0</v>
      </c>
    </row>
    <row r="72" spans="1:2" ht="14.25">
      <c r="A72" s="205" t="s">
        <v>583</v>
      </c>
      <c r="B72" s="208">
        <f>B71</f>
        <v>0</v>
      </c>
    </row>
    <row r="73" spans="1:2" ht="14.25">
      <c r="A73" s="205" t="s">
        <v>584</v>
      </c>
      <c r="B73" s="208">
        <f>(B69)+(B72)</f>
        <v>-28216.350000000002</v>
      </c>
    </row>
    <row r="74" spans="1:2" ht="14.25">
      <c r="A74" s="205" t="s">
        <v>585</v>
      </c>
      <c r="B74" s="206"/>
    </row>
    <row r="75" spans="1:2" ht="14.25">
      <c r="A75" s="205" t="s">
        <v>586</v>
      </c>
      <c r="B75" s="207">
        <f>0</f>
        <v>0</v>
      </c>
    </row>
    <row r="76" spans="1:2" ht="14.25">
      <c r="A76" s="205" t="s">
        <v>587</v>
      </c>
      <c r="B76" s="207">
        <f>218253.72</f>
        <v>218253.72</v>
      </c>
    </row>
    <row r="77" spans="1:2" ht="14.25">
      <c r="A77" s="205" t="s">
        <v>588</v>
      </c>
      <c r="B77" s="207">
        <f>35590.77</f>
        <v>35590.77</v>
      </c>
    </row>
    <row r="78" spans="1:2" ht="14.25">
      <c r="A78" s="205" t="s">
        <v>589</v>
      </c>
      <c r="B78" s="208">
        <f>((B75)+(B76))+(B77)</f>
        <v>253844.49</v>
      </c>
    </row>
    <row r="79" spans="1:2" ht="14.25">
      <c r="A79" s="205" t="s">
        <v>590</v>
      </c>
      <c r="B79" s="208">
        <f>(B73)+(B78)</f>
        <v>225628.13999999998</v>
      </c>
    </row>
    <row r="80" spans="1:2" ht="14.25">
      <c r="A80" s="205"/>
      <c r="B80" s="206"/>
    </row>
    <row r="83" spans="1:2" ht="14.25">
      <c r="A83" s="218" t="s">
        <v>602</v>
      </c>
      <c r="B83" s="219"/>
    </row>
  </sheetData>
  <sheetProtection/>
  <mergeCells count="4">
    <mergeCell ref="A83:B83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10">
      <selection activeCell="A1" sqref="A1:B1"/>
    </sheetView>
  </sheetViews>
  <sheetFormatPr defaultColWidth="9.140625" defaultRowHeight="12.75"/>
  <cols>
    <col min="1" max="1" width="47.28125" style="202" customWidth="1"/>
    <col min="2" max="2" width="16.28125" style="202" customWidth="1"/>
    <col min="3" max="16384" width="8.8515625" style="202" customWidth="1"/>
  </cols>
  <sheetData>
    <row r="1" spans="1:2" ht="17.25">
      <c r="A1" s="220" t="s">
        <v>170</v>
      </c>
      <c r="B1" s="219"/>
    </row>
    <row r="2" spans="1:2" ht="17.25">
      <c r="A2" s="220" t="s">
        <v>515</v>
      </c>
      <c r="B2" s="219"/>
    </row>
    <row r="3" spans="1:2" ht="14.25">
      <c r="A3" s="221" t="s">
        <v>516</v>
      </c>
      <c r="B3" s="219"/>
    </row>
    <row r="5" spans="1:2" ht="14.25">
      <c r="A5" s="203"/>
      <c r="B5" s="204" t="s">
        <v>173</v>
      </c>
    </row>
    <row r="6" spans="1:2" ht="14.25">
      <c r="A6" s="205" t="s">
        <v>517</v>
      </c>
      <c r="B6" s="206"/>
    </row>
    <row r="7" spans="1:2" ht="14.25">
      <c r="A7" s="205" t="s">
        <v>518</v>
      </c>
      <c r="B7" s="206"/>
    </row>
    <row r="8" spans="1:2" ht="14.25">
      <c r="A8" s="205" t="s">
        <v>519</v>
      </c>
      <c r="B8" s="206"/>
    </row>
    <row r="9" spans="1:2" ht="14.25">
      <c r="A9" s="205" t="s">
        <v>520</v>
      </c>
      <c r="B9" s="207">
        <f>72613.4</f>
        <v>72613.4</v>
      </c>
    </row>
    <row r="10" spans="1:2" ht="14.25">
      <c r="A10" s="205" t="s">
        <v>521</v>
      </c>
      <c r="B10" s="207">
        <f>26090.34</f>
        <v>26090.34</v>
      </c>
    </row>
    <row r="11" spans="1:2" ht="14.25">
      <c r="A11" s="205" t="s">
        <v>522</v>
      </c>
      <c r="B11" s="207">
        <f>19859.44</f>
        <v>19859.44</v>
      </c>
    </row>
    <row r="12" spans="1:2" ht="14.25">
      <c r="A12" s="205" t="s">
        <v>523</v>
      </c>
      <c r="B12" s="207">
        <f>0</f>
        <v>0</v>
      </c>
    </row>
    <row r="13" spans="1:2" ht="14.25">
      <c r="A13" s="205" t="s">
        <v>524</v>
      </c>
      <c r="B13" s="208">
        <f>(B11)+(B12)</f>
        <v>19859.44</v>
      </c>
    </row>
    <row r="14" spans="1:2" ht="14.25">
      <c r="A14" s="205" t="s">
        <v>525</v>
      </c>
      <c r="B14" s="207">
        <f>-0.45</f>
        <v>-0.45</v>
      </c>
    </row>
    <row r="15" spans="1:2" ht="14.25">
      <c r="A15" s="205" t="s">
        <v>526</v>
      </c>
      <c r="B15" s="207">
        <f>554.58</f>
        <v>554.58</v>
      </c>
    </row>
    <row r="16" spans="1:2" ht="14.25">
      <c r="A16" s="205" t="s">
        <v>527</v>
      </c>
      <c r="B16" s="207">
        <f>47501.44</f>
        <v>47501.44</v>
      </c>
    </row>
    <row r="17" spans="1:2" ht="14.25">
      <c r="A17" s="205" t="s">
        <v>528</v>
      </c>
      <c r="B17" s="207">
        <f>10584.02</f>
        <v>10584.02</v>
      </c>
    </row>
    <row r="18" spans="1:2" ht="14.25">
      <c r="A18" s="205" t="s">
        <v>529</v>
      </c>
      <c r="B18" s="207">
        <f>0</f>
        <v>0</v>
      </c>
    </row>
    <row r="19" spans="1:2" ht="14.25">
      <c r="A19" s="205" t="s">
        <v>530</v>
      </c>
      <c r="B19" s="207">
        <f>25940.57</f>
        <v>25940.57</v>
      </c>
    </row>
    <row r="20" spans="1:2" ht="14.25">
      <c r="A20" s="205" t="s">
        <v>531</v>
      </c>
      <c r="B20" s="207">
        <f>0</f>
        <v>0</v>
      </c>
    </row>
    <row r="21" spans="1:2" ht="14.25">
      <c r="A21" s="205" t="s">
        <v>532</v>
      </c>
      <c r="B21" s="208">
        <f>(((((((((B9)+(B10))+(B13))+(B14))+(B15))+(B16))+(B17))+(B18))+(B19))+(B20)</f>
        <v>203143.34</v>
      </c>
    </row>
    <row r="22" spans="1:2" ht="14.25">
      <c r="A22" s="205" t="s">
        <v>533</v>
      </c>
      <c r="B22" s="206"/>
    </row>
    <row r="23" spans="1:2" ht="14.25">
      <c r="A23" s="205" t="s">
        <v>534</v>
      </c>
      <c r="B23" s="207">
        <f>849.55</f>
        <v>849.55</v>
      </c>
    </row>
    <row r="24" spans="1:2" ht="14.25">
      <c r="A24" s="205" t="s">
        <v>535</v>
      </c>
      <c r="B24" s="207">
        <f>1252.05</f>
        <v>1252.05</v>
      </c>
    </row>
    <row r="25" spans="1:2" ht="14.25">
      <c r="A25" s="205" t="s">
        <v>536</v>
      </c>
      <c r="B25" s="207">
        <f>-1394.48</f>
        <v>-1394.48</v>
      </c>
    </row>
    <row r="26" spans="1:2" ht="14.25">
      <c r="A26" s="205" t="s">
        <v>537</v>
      </c>
      <c r="B26" s="207">
        <f>3381.44</f>
        <v>3381.44</v>
      </c>
    </row>
    <row r="27" spans="1:2" ht="14.25">
      <c r="A27" s="205" t="s">
        <v>538</v>
      </c>
      <c r="B27" s="207">
        <f>0</f>
        <v>0</v>
      </c>
    </row>
    <row r="28" spans="1:2" ht="14.25">
      <c r="A28" s="205" t="s">
        <v>539</v>
      </c>
      <c r="B28" s="207">
        <f>-126.31</f>
        <v>-126.31</v>
      </c>
    </row>
    <row r="29" spans="1:2" ht="14.25">
      <c r="A29" s="205" t="s">
        <v>540</v>
      </c>
      <c r="B29" s="207">
        <f>0</f>
        <v>0</v>
      </c>
    </row>
    <row r="30" spans="1:2" ht="14.25">
      <c r="A30" s="205" t="s">
        <v>541</v>
      </c>
      <c r="B30" s="207">
        <f>23292.27</f>
        <v>23292.27</v>
      </c>
    </row>
    <row r="31" spans="1:2" ht="14.25">
      <c r="A31" s="205" t="s">
        <v>542</v>
      </c>
      <c r="B31" s="207">
        <f>-849.55</f>
        <v>-849.55</v>
      </c>
    </row>
    <row r="32" spans="1:2" ht="14.25">
      <c r="A32" s="205" t="s">
        <v>543</v>
      </c>
      <c r="B32" s="208">
        <f>((((((((B23)+(B24))+(B25))+(B26))+(B27))+(B28))+(B29))+(B30))+(B31)</f>
        <v>26404.97</v>
      </c>
    </row>
    <row r="33" spans="1:2" ht="14.25">
      <c r="A33" s="205" t="s">
        <v>544</v>
      </c>
      <c r="B33" s="206"/>
    </row>
    <row r="34" spans="1:2" ht="14.25">
      <c r="A34" s="205" t="s">
        <v>545</v>
      </c>
      <c r="B34" s="207">
        <f>873.09</f>
        <v>873.09</v>
      </c>
    </row>
    <row r="35" spans="1:2" ht="14.25">
      <c r="A35" s="205" t="s">
        <v>546</v>
      </c>
      <c r="B35" s="208">
        <f>B34</f>
        <v>873.09</v>
      </c>
    </row>
    <row r="36" spans="1:2" ht="14.25">
      <c r="A36" s="205" t="s">
        <v>547</v>
      </c>
      <c r="B36" s="208">
        <f>((B21)+(B32))+(B35)</f>
        <v>230421.4</v>
      </c>
    </row>
    <row r="37" spans="1:2" ht="14.25">
      <c r="A37" s="205" t="s">
        <v>548</v>
      </c>
      <c r="B37" s="206"/>
    </row>
    <row r="38" spans="1:2" ht="14.25">
      <c r="A38" s="205" t="s">
        <v>549</v>
      </c>
      <c r="B38" s="207">
        <f>0</f>
        <v>0</v>
      </c>
    </row>
    <row r="39" spans="1:2" ht="14.25">
      <c r="A39" s="205" t="s">
        <v>550</v>
      </c>
      <c r="B39" s="207">
        <f>0</f>
        <v>0</v>
      </c>
    </row>
    <row r="40" spans="1:2" ht="14.25">
      <c r="A40" s="205" t="s">
        <v>551</v>
      </c>
      <c r="B40" s="208">
        <f>(B38)+(B39)</f>
        <v>0</v>
      </c>
    </row>
    <row r="41" spans="1:2" ht="14.25">
      <c r="A41" s="205" t="s">
        <v>552</v>
      </c>
      <c r="B41" s="207">
        <f>0</f>
        <v>0</v>
      </c>
    </row>
    <row r="42" spans="1:2" ht="14.25">
      <c r="A42" s="205" t="s">
        <v>553</v>
      </c>
      <c r="B42" s="207">
        <f>0</f>
        <v>0</v>
      </c>
    </row>
    <row r="43" spans="1:2" ht="14.25">
      <c r="A43" s="205" t="s">
        <v>554</v>
      </c>
      <c r="B43" s="208">
        <f>((B40)+(B41))+(B42)</f>
        <v>0</v>
      </c>
    </row>
    <row r="44" spans="1:2" ht="14.25">
      <c r="A44" s="205" t="s">
        <v>555</v>
      </c>
      <c r="B44" s="206"/>
    </row>
    <row r="45" spans="1:2" ht="14.25">
      <c r="A45" s="205" t="s">
        <v>556</v>
      </c>
      <c r="B45" s="207">
        <f>0</f>
        <v>0</v>
      </c>
    </row>
    <row r="46" spans="1:2" ht="14.25">
      <c r="A46" s="205" t="s">
        <v>557</v>
      </c>
      <c r="B46" s="207">
        <f>0</f>
        <v>0</v>
      </c>
    </row>
    <row r="47" spans="1:2" ht="14.25">
      <c r="A47" s="205" t="s">
        <v>558</v>
      </c>
      <c r="B47" s="208">
        <f>(B45)+(B46)</f>
        <v>0</v>
      </c>
    </row>
    <row r="48" spans="1:2" ht="14.25">
      <c r="A48" s="205" t="s">
        <v>559</v>
      </c>
      <c r="B48" s="208">
        <f>((B36)+(B43))+(B47)</f>
        <v>230421.4</v>
      </c>
    </row>
    <row r="49" spans="1:2" ht="14.25">
      <c r="A49" s="205" t="s">
        <v>560</v>
      </c>
      <c r="B49" s="206"/>
    </row>
    <row r="50" spans="1:2" ht="14.25">
      <c r="A50" s="205" t="s">
        <v>561</v>
      </c>
      <c r="B50" s="206"/>
    </row>
    <row r="51" spans="1:2" ht="14.25">
      <c r="A51" s="205" t="s">
        <v>562</v>
      </c>
      <c r="B51" s="206"/>
    </row>
    <row r="52" spans="1:2" ht="14.25">
      <c r="A52" s="205" t="s">
        <v>563</v>
      </c>
      <c r="B52" s="206"/>
    </row>
    <row r="53" spans="1:2" ht="14.25">
      <c r="A53" s="205" t="s">
        <v>564</v>
      </c>
      <c r="B53" s="207">
        <f>88.28</f>
        <v>88.28</v>
      </c>
    </row>
    <row r="54" spans="1:2" ht="14.25">
      <c r="A54" s="205" t="s">
        <v>565</v>
      </c>
      <c r="B54" s="208">
        <f>B53</f>
        <v>88.28</v>
      </c>
    </row>
    <row r="55" spans="1:2" ht="14.25">
      <c r="A55" s="205" t="s">
        <v>566</v>
      </c>
      <c r="B55" s="206"/>
    </row>
    <row r="56" spans="1:2" ht="14.25">
      <c r="A56" s="205" t="s">
        <v>567</v>
      </c>
      <c r="B56" s="207">
        <f>-106.89</f>
        <v>-106.89</v>
      </c>
    </row>
    <row r="57" spans="1:2" ht="14.25">
      <c r="A57" s="205" t="s">
        <v>568</v>
      </c>
      <c r="B57" s="207">
        <f>-84752.05</f>
        <v>-84752.05</v>
      </c>
    </row>
    <row r="58" spans="1:2" ht="14.25">
      <c r="A58" s="205" t="s">
        <v>569</v>
      </c>
      <c r="B58" s="207">
        <f>1304.67</f>
        <v>1304.67</v>
      </c>
    </row>
    <row r="59" spans="1:2" ht="14.25">
      <c r="A59" s="205" t="s">
        <v>570</v>
      </c>
      <c r="B59" s="207">
        <f>35900.23</f>
        <v>35900.23</v>
      </c>
    </row>
    <row r="60" spans="1:2" ht="14.25">
      <c r="A60" s="205" t="s">
        <v>571</v>
      </c>
      <c r="B60" s="207">
        <f>17338</f>
        <v>17338</v>
      </c>
    </row>
    <row r="61" spans="1:2" ht="14.25">
      <c r="A61" s="205" t="s">
        <v>572</v>
      </c>
      <c r="B61" s="207">
        <f>83.49</f>
        <v>83.49</v>
      </c>
    </row>
    <row r="62" spans="1:2" ht="14.25">
      <c r="A62" s="205" t="s">
        <v>573</v>
      </c>
      <c r="B62" s="207">
        <f>356.24</f>
        <v>356.24</v>
      </c>
    </row>
    <row r="63" spans="1:2" ht="14.25">
      <c r="A63" s="205" t="s">
        <v>574</v>
      </c>
      <c r="B63" s="207">
        <f>-9.25</f>
        <v>-9.25</v>
      </c>
    </row>
    <row r="64" spans="1:2" ht="14.25">
      <c r="A64" s="205" t="s">
        <v>575</v>
      </c>
      <c r="B64" s="207">
        <f>0</f>
        <v>0</v>
      </c>
    </row>
    <row r="65" spans="1:2" ht="14.25">
      <c r="A65" s="205" t="s">
        <v>576</v>
      </c>
      <c r="B65" s="207">
        <f>43.55</f>
        <v>43.55</v>
      </c>
    </row>
    <row r="66" spans="1:2" ht="14.25">
      <c r="A66" s="205" t="s">
        <v>577</v>
      </c>
      <c r="B66" s="207">
        <f>942.19</f>
        <v>942.19</v>
      </c>
    </row>
    <row r="67" spans="1:2" ht="14.25">
      <c r="A67" s="205" t="s">
        <v>578</v>
      </c>
      <c r="B67" s="207">
        <f>500</f>
        <v>500</v>
      </c>
    </row>
    <row r="68" spans="1:2" ht="14.25">
      <c r="A68" s="205" t="s">
        <v>579</v>
      </c>
      <c r="B68" s="208">
        <f>(((((((((((B56)+(B57))+(B58))+(B59))+(B60))+(B61))+(B62))+(B63))+(B64))+(B65))+(B66))+(B67)</f>
        <v>-28399.82</v>
      </c>
    </row>
    <row r="69" spans="1:2" ht="14.25">
      <c r="A69" s="205" t="s">
        <v>580</v>
      </c>
      <c r="B69" s="208">
        <f>(B54)+(B68)</f>
        <v>-28311.54</v>
      </c>
    </row>
    <row r="70" spans="1:2" ht="14.25">
      <c r="A70" s="205" t="s">
        <v>581</v>
      </c>
      <c r="B70" s="206"/>
    </row>
    <row r="71" spans="1:2" ht="14.25">
      <c r="A71" s="205" t="s">
        <v>582</v>
      </c>
      <c r="B71" s="207">
        <f>0</f>
        <v>0</v>
      </c>
    </row>
    <row r="72" spans="1:2" ht="14.25">
      <c r="A72" s="205" t="s">
        <v>583</v>
      </c>
      <c r="B72" s="208">
        <f>B71</f>
        <v>0</v>
      </c>
    </row>
    <row r="73" spans="1:2" ht="14.25">
      <c r="A73" s="205" t="s">
        <v>584</v>
      </c>
      <c r="B73" s="208">
        <f>(B69)+(B72)</f>
        <v>-28311.54</v>
      </c>
    </row>
    <row r="74" spans="1:2" ht="14.25">
      <c r="A74" s="205" t="s">
        <v>585</v>
      </c>
      <c r="B74" s="206"/>
    </row>
    <row r="75" spans="1:2" ht="14.25">
      <c r="A75" s="205" t="s">
        <v>586</v>
      </c>
      <c r="B75" s="207">
        <f>0</f>
        <v>0</v>
      </c>
    </row>
    <row r="76" spans="1:2" ht="14.25">
      <c r="A76" s="205" t="s">
        <v>587</v>
      </c>
      <c r="B76" s="207">
        <f>218253.72</f>
        <v>218253.72</v>
      </c>
    </row>
    <row r="77" spans="1:2" ht="14.25">
      <c r="A77" s="205" t="s">
        <v>588</v>
      </c>
      <c r="B77" s="207">
        <f>40479.22</f>
        <v>40479.22</v>
      </c>
    </row>
    <row r="78" spans="1:2" ht="14.25">
      <c r="A78" s="205" t="s">
        <v>589</v>
      </c>
      <c r="B78" s="208">
        <f>((B75)+(B76))+(B77)</f>
        <v>258732.94</v>
      </c>
    </row>
    <row r="79" spans="1:2" ht="14.25">
      <c r="A79" s="205" t="s">
        <v>590</v>
      </c>
      <c r="B79" s="208">
        <f>(B73)+(B78)</f>
        <v>230421.4</v>
      </c>
    </row>
    <row r="80" spans="1:2" ht="14.25">
      <c r="A80" s="205"/>
      <c r="B80" s="206"/>
    </row>
    <row r="83" spans="1:2" ht="14.25">
      <c r="A83" s="218" t="s">
        <v>591</v>
      </c>
      <c r="B83" s="219"/>
    </row>
  </sheetData>
  <sheetProtection/>
  <mergeCells count="4">
    <mergeCell ref="A83:B83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Brubaker</dc:creator>
  <cp:keywords/>
  <dc:description/>
  <cp:lastModifiedBy>Dana Brubaker</cp:lastModifiedBy>
  <cp:lastPrinted>2016-12-12T22:29:15Z</cp:lastPrinted>
  <dcterms:created xsi:type="dcterms:W3CDTF">2016-11-12T20:53:29Z</dcterms:created>
  <dcterms:modified xsi:type="dcterms:W3CDTF">2017-02-23T03:51:25Z</dcterms:modified>
  <cp:category/>
  <cp:version/>
  <cp:contentType/>
  <cp:contentStatus/>
</cp:coreProperties>
</file>