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64" windowHeight="5340" activeTab="0"/>
  </bookViews>
  <sheets>
    <sheet name="Oct 2017" sheetId="1" r:id="rId1"/>
    <sheet name="Fire Tax - Oct" sheetId="2" r:id="rId2"/>
    <sheet name="Liquid Fuels Oct" sheetId="3" r:id="rId3"/>
    <sheet name="Solid Waste -Oct " sheetId="4" r:id="rId4"/>
    <sheet name="Playground-Oct " sheetId="5" r:id="rId5"/>
    <sheet name="BS -Oct" sheetId="6" r:id="rId6"/>
    <sheet name="2017 Budget " sheetId="7" r:id="rId7"/>
    <sheet name="Sheet8" sheetId="8" r:id="rId8"/>
    <sheet name="Sheet2" sheetId="9" r:id="rId9"/>
    <sheet name="Sheet1" sheetId="10" r:id="rId10"/>
  </sheets>
  <externalReferences>
    <externalReference r:id="rId13"/>
    <externalReference r:id="rId14"/>
  </externalReferences>
  <definedNames>
    <definedName name="_xlnm.Print_Area" localSheetId="6">'2017 Budget '!$A$102:$I$253</definedName>
    <definedName name="_xlnm.Print_Area" localSheetId="5">'BS -Oct'!$A$1:$I$27</definedName>
    <definedName name="_xlnm.Print_Area" localSheetId="1">'Fire Tax - Oct'!$A$1:$C$36</definedName>
    <definedName name="_xlnm.Print_Area" localSheetId="2">'Liquid Fuels Oct'!$A$1:$D$32</definedName>
    <definedName name="_xlnm.Print_Area" localSheetId="0">'Oct 2017'!$A$1:$F$56</definedName>
    <definedName name="_xlnm.Print_Area" localSheetId="4">'Playground-Oct '!$A$1:$D$33</definedName>
    <definedName name="_xlnm.Print_Area" localSheetId="3">'Solid Waste -Oct '!$A$1:$D$34</definedName>
    <definedName name="_xlnm.Print_Titles" localSheetId="6">'2017 Budget '!$102:$106</definedName>
  </definedNames>
  <calcPr fullCalcOnLoad="1"/>
</workbook>
</file>

<file path=xl/sharedStrings.xml><?xml version="1.0" encoding="utf-8"?>
<sst xmlns="http://schemas.openxmlformats.org/spreadsheetml/2006/main" count="876" uniqueCount="545">
  <si>
    <t>Borough of Parryville</t>
  </si>
  <si>
    <t>Treasurer's Report</t>
  </si>
  <si>
    <t>Income:</t>
  </si>
  <si>
    <t>Budget</t>
  </si>
  <si>
    <t>Difference</t>
  </si>
  <si>
    <t>Due From General Fund</t>
  </si>
  <si>
    <t>Due To Highway Aid Fund - Fund Transfer</t>
  </si>
  <si>
    <t>Real Estate Taxes - Delinquent</t>
  </si>
  <si>
    <t>Real Estate Taxes - Current Year</t>
  </si>
  <si>
    <t>Real Estate Taxes - Current Year - Discount</t>
  </si>
  <si>
    <t>Real Estate Taxes - Penalties</t>
  </si>
  <si>
    <t>Real Estate Taxes - Pr. Yr Levy</t>
  </si>
  <si>
    <t>Fire Company Tax - Current Year</t>
  </si>
  <si>
    <t>Fire Company Tax - Current Year - Discount</t>
  </si>
  <si>
    <t>Fire Company Taxes  - Pr. Yr. Levy</t>
  </si>
  <si>
    <t>Fire Company Tax - Penalties</t>
  </si>
  <si>
    <t>Tax Claim Bureau</t>
  </si>
  <si>
    <t>Tax Claim Bureau - Fire Tax</t>
  </si>
  <si>
    <t>Total 12.5</t>
  </si>
  <si>
    <t>Occupational Taxes - Current Year</t>
  </si>
  <si>
    <t>Occupational Taxes - Current Year - Discount</t>
  </si>
  <si>
    <t>Occupational Taxes - Prior Year</t>
  </si>
  <si>
    <t>Occupational Taxes - Penalties</t>
  </si>
  <si>
    <t>Occupational Taxes - Delinquent</t>
  </si>
  <si>
    <t>Per Capita Taxes - Current</t>
  </si>
  <si>
    <t>Per Capita Taxes - Current - Discount</t>
  </si>
  <si>
    <t xml:space="preserve">Per Capita Penalties </t>
  </si>
  <si>
    <t>Per Capita Taxes - Prior Year</t>
  </si>
  <si>
    <t>Per Capita Taxes - Delinquent</t>
  </si>
  <si>
    <t>Real Estate Transfer Tax</t>
  </si>
  <si>
    <t>Earned Income Taxes</t>
  </si>
  <si>
    <t>Occupational Priv. Taxes</t>
  </si>
  <si>
    <t xml:space="preserve">Moving Permits </t>
  </si>
  <si>
    <t>District Magistrate</t>
  </si>
  <si>
    <t>State Police Fines</t>
  </si>
  <si>
    <t>Borough Fines</t>
  </si>
  <si>
    <t>Interest Income</t>
  </si>
  <si>
    <t>Rental Income - Elections/Land</t>
  </si>
  <si>
    <t>PURTA</t>
  </si>
  <si>
    <t>Foreign Fire Tax</t>
  </si>
  <si>
    <t>Alcoholic Beverage License Fee</t>
  </si>
  <si>
    <t>Solid Waste - Current</t>
  </si>
  <si>
    <t>Solid Waste - Delinquent</t>
  </si>
  <si>
    <t>Zoning/Building Permits</t>
  </si>
  <si>
    <t>Permits - Bldgs/Roads</t>
  </si>
  <si>
    <t xml:space="preserve">Sewage Permit &amp; Testing Fees </t>
  </si>
  <si>
    <t>Uniform Construction Code Permits</t>
  </si>
  <si>
    <t>Sale of Materials</t>
  </si>
  <si>
    <t>Miscellaneous</t>
  </si>
  <si>
    <t>Contributions from Private Sources</t>
  </si>
  <si>
    <t>Liquid Fuels - Interest Income</t>
  </si>
  <si>
    <t>Liquid Fuels Allocation</t>
  </si>
  <si>
    <t>Pending</t>
  </si>
  <si>
    <t xml:space="preserve">Total Income </t>
  </si>
  <si>
    <t>Expenses:</t>
  </si>
  <si>
    <t xml:space="preserve">Council </t>
  </si>
  <si>
    <t>Code Enforcement Officer Fees</t>
  </si>
  <si>
    <t>Council Salaries</t>
  </si>
  <si>
    <t>Borough Council - Dues/Seminars</t>
  </si>
  <si>
    <t>Borough Council - Training</t>
  </si>
  <si>
    <t>Tablet Replacement</t>
  </si>
  <si>
    <t>Mayor</t>
  </si>
  <si>
    <t>Mayor Salaries</t>
  </si>
  <si>
    <t>Mayor - Dues/Seminars</t>
  </si>
  <si>
    <t>Audit Fees</t>
  </si>
  <si>
    <t>Tax Collections</t>
  </si>
  <si>
    <t>Tax Collector Commission</t>
  </si>
  <si>
    <t>Tax Collector - Training</t>
  </si>
  <si>
    <t>Tax Collector -Supplies</t>
  </si>
  <si>
    <t>Legal Fees</t>
  </si>
  <si>
    <t>Legal Fees - Borough Solicitor</t>
  </si>
  <si>
    <t>Legal Fees - Zoning Hearing Board</t>
  </si>
  <si>
    <t>Secretary/Treasurer</t>
  </si>
  <si>
    <t>Borough Secretary Salary</t>
  </si>
  <si>
    <t>Borough Secretary - Blackberry Access</t>
  </si>
  <si>
    <t xml:space="preserve">QuickBooks </t>
  </si>
  <si>
    <t>Office Supplies/Materials</t>
  </si>
  <si>
    <t>Computer/Copier Supplies</t>
  </si>
  <si>
    <t>Secretary - Postage</t>
  </si>
  <si>
    <t>Advertising/Printing</t>
  </si>
  <si>
    <t>Borough Secretary Bond</t>
  </si>
  <si>
    <t>Engineering</t>
  </si>
  <si>
    <t xml:space="preserve">Engineering Fees - General </t>
  </si>
  <si>
    <t>Engineering Fees - 537 Plan</t>
  </si>
  <si>
    <t>Engineering Fees - Planning Commission</t>
  </si>
  <si>
    <t>Engineering Fees - Road Project</t>
  </si>
  <si>
    <t>Municipal Building</t>
  </si>
  <si>
    <t>Telephone Services</t>
  </si>
  <si>
    <t>Internet Fees</t>
  </si>
  <si>
    <t>Electric</t>
  </si>
  <si>
    <t>Heat</t>
  </si>
  <si>
    <t>Borough Hall - Maintenance &amp; Repairs</t>
  </si>
  <si>
    <t>Borough Hall - Supplies</t>
  </si>
  <si>
    <t>Capital Construction</t>
  </si>
  <si>
    <t>Computer - IT Expense</t>
  </si>
  <si>
    <t>Fire and Public Safety</t>
  </si>
  <si>
    <t>Communication Center - 911</t>
  </si>
  <si>
    <t>Fire Company - Expenses Submitted</t>
  </si>
  <si>
    <t>Fire Company - Workers Compensation</t>
  </si>
  <si>
    <t>Foreign Fire Insurance - Expense</t>
  </si>
  <si>
    <t>400-414</t>
  </si>
  <si>
    <t>Enforcement</t>
  </si>
  <si>
    <t>Zoning Officer Fees</t>
  </si>
  <si>
    <t>Zoning Hearing Board Expenses</t>
  </si>
  <si>
    <t>Planning Commission Expenses</t>
  </si>
  <si>
    <t>Sewage Enforcement Officer Fees</t>
  </si>
  <si>
    <t>Building Code Enforcement Fees</t>
  </si>
  <si>
    <t>Sanitation</t>
  </si>
  <si>
    <t>Waste Removal - per contract</t>
  </si>
  <si>
    <t>Bad Debts - Solid Waste Accts</t>
  </si>
  <si>
    <t>Recycling Contract</t>
  </si>
  <si>
    <t>Collection Agency Commission</t>
  </si>
  <si>
    <t>Public Works</t>
  </si>
  <si>
    <t>Munibilling Fees</t>
  </si>
  <si>
    <t>Snow Removal - Contracted Services</t>
  </si>
  <si>
    <t>Street Lights</t>
  </si>
  <si>
    <t>Street Lights - PPL</t>
  </si>
  <si>
    <t>Debt Services</t>
  </si>
  <si>
    <t>Truck Lease Payments</t>
  </si>
  <si>
    <t>Road Repair Loan - Principal</t>
  </si>
  <si>
    <t>Road Repair Loan - Interest</t>
  </si>
  <si>
    <t>Insurance</t>
  </si>
  <si>
    <t>Contracted Services</t>
  </si>
  <si>
    <t>Contract Services - Grass Cutting</t>
  </si>
  <si>
    <t>Contract Services - Weed Spraying</t>
  </si>
  <si>
    <t>Recreation</t>
  </si>
  <si>
    <t>Park - Operating Supplies</t>
  </si>
  <si>
    <t xml:space="preserve">Equipment Replacement </t>
  </si>
  <si>
    <t>Donations &amp; Contributions</t>
  </si>
  <si>
    <t>State Aid</t>
  </si>
  <si>
    <t xml:space="preserve">Liquid Fuels Expense </t>
  </si>
  <si>
    <t>Miscellaneous Expense</t>
  </si>
  <si>
    <t>Bank Fees</t>
  </si>
  <si>
    <t>480-483</t>
  </si>
  <si>
    <t>Employer Expenses</t>
  </si>
  <si>
    <t>Payroll Taxes - Employer</t>
  </si>
  <si>
    <t>Employer - UC Charges</t>
  </si>
  <si>
    <t>Repayment Plan - Liquid Fuels</t>
  </si>
  <si>
    <t xml:space="preserve">Total Expenses </t>
  </si>
  <si>
    <t>Net (Income)/Loss</t>
  </si>
  <si>
    <t xml:space="preserve">   Motion By:</t>
  </si>
  <si>
    <t xml:space="preserve">   Second By:</t>
  </si>
  <si>
    <t>Parryville Borough</t>
  </si>
  <si>
    <t>Fire Protection - Special Purpose Millage - Fund Balance</t>
  </si>
  <si>
    <t>Profit and Loss</t>
  </si>
  <si>
    <t>Total</t>
  </si>
  <si>
    <t>Income</t>
  </si>
  <si>
    <t xml:space="preserve">   Real Estate Taxes - Fire Tax</t>
  </si>
  <si>
    <t xml:space="preserve">   Real Estate Taxes - Fire Tax - Discount</t>
  </si>
  <si>
    <t xml:space="preserve">   Prior Year -RE Taxes - Fire Tax</t>
  </si>
  <si>
    <t xml:space="preserve">   Tax Claim Bureau - Fire Tax</t>
  </si>
  <si>
    <t xml:space="preserve">   Volunteer Fire Relief</t>
  </si>
  <si>
    <t xml:space="preserve">   Interest Income - Fire Tax</t>
  </si>
  <si>
    <t>Total Income</t>
  </si>
  <si>
    <t>Expenses</t>
  </si>
  <si>
    <t xml:space="preserve">   Parryville Fire Company - Insurance Expenses</t>
  </si>
  <si>
    <t xml:space="preserve">   Parryville Fire Company - Workers Compensation Charges</t>
  </si>
  <si>
    <t>Total Expenses</t>
  </si>
  <si>
    <t>Net Operating Income/(Loss)</t>
  </si>
  <si>
    <t>Fire Protection Fund Reconciliation</t>
  </si>
  <si>
    <t>Due To General Fund From Fire Tax Fund</t>
  </si>
  <si>
    <t>Due To Fire Tax Fund From General Fund</t>
  </si>
  <si>
    <t>B.1</t>
  </si>
  <si>
    <t xml:space="preserve">   Comprised of:</t>
  </si>
  <si>
    <t xml:space="preserve">      Cash on hand, beginning of year</t>
  </si>
  <si>
    <t xml:space="preserve">      Prior Year - Expenses In Excess Of Revenue - General Fund</t>
  </si>
  <si>
    <t xml:space="preserve">      Revenues collected in current year</t>
  </si>
  <si>
    <t xml:space="preserve">      Expenditures in current year</t>
  </si>
  <si>
    <t xml:space="preserve">     Cash Balance, ending</t>
  </si>
  <si>
    <t>State Highway Aid - Fund Balance</t>
  </si>
  <si>
    <t xml:space="preserve">   Liquid Fuels Annual Allocation</t>
  </si>
  <si>
    <t xml:space="preserve">   Liquid Fuels Repayment Plan</t>
  </si>
  <si>
    <t xml:space="preserve">   Interest Income - Liquid Fuels</t>
  </si>
  <si>
    <t xml:space="preserve">   Liquid Fuels Expenses</t>
  </si>
  <si>
    <t>State Highway Aid Fund Reconciliation</t>
  </si>
  <si>
    <t>Due To General Fund From Highway Aid Fund</t>
  </si>
  <si>
    <t>Due To Highway Aid Fund From General Fund</t>
  </si>
  <si>
    <t>C.1</t>
  </si>
  <si>
    <t xml:space="preserve">     Expenditures in current year</t>
  </si>
  <si>
    <t>Solid Waste - Fund Balance</t>
  </si>
  <si>
    <t xml:space="preserve">   Solid Waste - Current Year Collections</t>
  </si>
  <si>
    <t xml:space="preserve">   Solid Waste - Deliquent Collections</t>
  </si>
  <si>
    <t xml:space="preserve">   Solid Waste - Interest Income</t>
  </si>
  <si>
    <t xml:space="preserve">   Solid Waste - Service Contract Fees  (Paid From Solid Waste Fund)</t>
  </si>
  <si>
    <t xml:space="preserve">   Solid Waste - Bad Debt Expense</t>
  </si>
  <si>
    <t xml:space="preserve">   Solid Waste - Legal Fees</t>
  </si>
  <si>
    <t>Solid Waste Fund Reconciliation</t>
  </si>
  <si>
    <t>Due To General Fund From Solid Waste Fund</t>
  </si>
  <si>
    <t>Due To Solid Waste From M&amp;T General Fund</t>
  </si>
  <si>
    <t xml:space="preserve">      Prior Year - Collections In Excess Of Expenses - General Fund</t>
  </si>
  <si>
    <t>Playground Replacement Project - Fund Balance</t>
  </si>
  <si>
    <t xml:space="preserve">   Donations From Private Sources</t>
  </si>
  <si>
    <t xml:space="preserve">  Playground Expenses</t>
  </si>
  <si>
    <t>Playground Fund Reconciliation</t>
  </si>
  <si>
    <t>Due To General Fund From Playground Fund</t>
  </si>
  <si>
    <t>Due To Playground Fund From General Fund</t>
  </si>
  <si>
    <t>*</t>
  </si>
  <si>
    <t>E.1</t>
  </si>
  <si>
    <t>Cash Balances</t>
  </si>
  <si>
    <t>Balances</t>
  </si>
  <si>
    <t>Transfer</t>
  </si>
  <si>
    <t>Adjusted Balances</t>
  </si>
  <si>
    <t>Reference</t>
  </si>
  <si>
    <t>PLGIT - General Fund Account</t>
  </si>
  <si>
    <t xml:space="preserve">First Niagara Savings Account </t>
  </si>
  <si>
    <t>PLGIT - Highway Aid</t>
  </si>
  <si>
    <t>M&amp;T - General Fund</t>
  </si>
  <si>
    <t>PLGIT - Fire Tax Account</t>
  </si>
  <si>
    <t>PLGIT - Solid Waste Fund</t>
  </si>
  <si>
    <t>D.1</t>
  </si>
  <si>
    <t>Petty Cash</t>
  </si>
  <si>
    <t>Revenues</t>
  </si>
  <si>
    <t xml:space="preserve">Increase </t>
  </si>
  <si>
    <t>Account</t>
  </si>
  <si>
    <t>Current</t>
  </si>
  <si>
    <t xml:space="preserve">Year To </t>
  </si>
  <si>
    <t>Proposed</t>
  </si>
  <si>
    <t>or</t>
  </si>
  <si>
    <t xml:space="preserve">Final </t>
  </si>
  <si>
    <t>Number</t>
  </si>
  <si>
    <t>Classification or Category</t>
  </si>
  <si>
    <t>Date</t>
  </si>
  <si>
    <t>Decrease</t>
  </si>
  <si>
    <t>Cash on Hand</t>
  </si>
  <si>
    <t>Variance Between 2011 Budgeted Revenues</t>
  </si>
  <si>
    <t>Due From Capital Reserve Account</t>
  </si>
  <si>
    <t>vs actual:   $15,000 shortage</t>
  </si>
  <si>
    <t>Transfer From General Fund to Liquid Fuels</t>
  </si>
  <si>
    <t>Due From General Funds Account</t>
  </si>
  <si>
    <t>Due From Highway Aid Fund</t>
  </si>
  <si>
    <t>Material Differences:</t>
  </si>
  <si>
    <t>Real Estate Taxes:  $11,204</t>
  </si>
  <si>
    <t>Due To Highway Aid Fund</t>
  </si>
  <si>
    <t>EIT:                        $4,400</t>
  </si>
  <si>
    <t>Real Estate Taxes  (See Tab 2)</t>
  </si>
  <si>
    <t>Real Estate Taxes - Current General</t>
  </si>
  <si>
    <t>Real Estate Taxes - Current General - Discount</t>
  </si>
  <si>
    <t>Real Estate Taxes - Current - Fire Protection</t>
  </si>
  <si>
    <t>Real Estate Taxes - Current - Fire - Discount</t>
  </si>
  <si>
    <t>Real Estate Taxes - Discount</t>
  </si>
  <si>
    <t>Occupation Taxes</t>
  </si>
  <si>
    <t>Occupation Taxes - Current</t>
  </si>
  <si>
    <t>Occupation Taxes - Discount</t>
  </si>
  <si>
    <t>Occupation - Prior Year</t>
  </si>
  <si>
    <t>Local Enabling Tax (511)</t>
  </si>
  <si>
    <t>Per Capita - Prior Year</t>
  </si>
  <si>
    <t>Per Capita Taxes - Discount</t>
  </si>
  <si>
    <t>Per Capita - Delinquent</t>
  </si>
  <si>
    <t>Per Capita _ Penalties</t>
  </si>
  <si>
    <t>Earned Income Tax (Current)</t>
  </si>
  <si>
    <t>Earned Income Tax (Delinquent)</t>
  </si>
  <si>
    <t>Local Service Tax (Current)</t>
  </si>
  <si>
    <t>Cable Franchise Fees</t>
  </si>
  <si>
    <t>Fines</t>
  </si>
  <si>
    <t>Local Ordinances</t>
  </si>
  <si>
    <t>Vehicle Fines</t>
  </si>
  <si>
    <t xml:space="preserve">Rent of Land </t>
  </si>
  <si>
    <t>Intergovernmental Revenue</t>
  </si>
  <si>
    <t>Alcoholic Beverage License</t>
  </si>
  <si>
    <t>Fees &amp; Permits</t>
  </si>
  <si>
    <t>Subdivision/Zoning Fees</t>
  </si>
  <si>
    <t>Sewage Permits</t>
  </si>
  <si>
    <t>Zoning Hearing Fees</t>
  </si>
  <si>
    <t>Sales of Maps/Publications</t>
  </si>
  <si>
    <t>Permits - UCC</t>
  </si>
  <si>
    <t>Moving Permits</t>
  </si>
  <si>
    <t>Solid Waste</t>
  </si>
  <si>
    <t>Current Year Collections</t>
  </si>
  <si>
    <t>Delinquent Collections</t>
  </si>
  <si>
    <t>Contributions for Private Sources</t>
  </si>
  <si>
    <t xml:space="preserve">  Playground Fund</t>
  </si>
  <si>
    <t>Miscellaneous Income</t>
  </si>
  <si>
    <t>Sale of Fixed Assets</t>
  </si>
  <si>
    <t>Grant Revenue</t>
  </si>
  <si>
    <t>Refund of Prior Year Expenditures</t>
  </si>
  <si>
    <t>Restricted Revenue</t>
  </si>
  <si>
    <t>State Liquid Fuels Allocation</t>
  </si>
  <si>
    <t>Foreign Fire Tax Premium</t>
  </si>
  <si>
    <t>Total Revenue</t>
  </si>
  <si>
    <t>(355) Restricted Revenue &amp; Grants</t>
  </si>
  <si>
    <t>General Purpose Revenue</t>
  </si>
  <si>
    <t>Council</t>
  </si>
  <si>
    <t xml:space="preserve">Salaries </t>
  </si>
  <si>
    <t>Dues &amp; Memberships</t>
  </si>
  <si>
    <t>Borough Council Training</t>
  </si>
  <si>
    <t>Tablet Replacement Project</t>
  </si>
  <si>
    <t>Salary</t>
  </si>
  <si>
    <t>Local Tax Collector - Commission</t>
  </si>
  <si>
    <t>ACT 32 - EIT Collector - Commission</t>
  </si>
  <si>
    <t xml:space="preserve">Tax Collector - Training </t>
  </si>
  <si>
    <t>Tax Collector Supplies</t>
  </si>
  <si>
    <t>Solicitor</t>
  </si>
  <si>
    <t>Zoning Hearing Board Solicitor</t>
  </si>
  <si>
    <t>Office Supplies</t>
  </si>
  <si>
    <t>Quickbooks</t>
  </si>
  <si>
    <t>IT/Computer Expenses</t>
  </si>
  <si>
    <t>Postage</t>
  </si>
  <si>
    <t>Bonding</t>
  </si>
  <si>
    <t>Advertising &amp; Printing</t>
  </si>
  <si>
    <t>Miscellaneous - Other</t>
  </si>
  <si>
    <t xml:space="preserve">Engineering </t>
  </si>
  <si>
    <t xml:space="preserve">General </t>
  </si>
  <si>
    <t>Salt Shed</t>
  </si>
  <si>
    <t>Road Projects</t>
  </si>
  <si>
    <t>Planning Commission</t>
  </si>
  <si>
    <t>DEP - Act 537</t>
  </si>
  <si>
    <t>Supplies</t>
  </si>
  <si>
    <t>Telephone</t>
  </si>
  <si>
    <t>Internet Connection &amp; Website</t>
  </si>
  <si>
    <t>Electricity</t>
  </si>
  <si>
    <t>Repairs and Maintenance</t>
  </si>
  <si>
    <t>Fuel - Heat</t>
  </si>
  <si>
    <t>Capital Construction Projects</t>
  </si>
  <si>
    <t>Fire &amp; Public Safety</t>
  </si>
  <si>
    <t>911 Services</t>
  </si>
  <si>
    <t>Fire Tax Expenses</t>
  </si>
  <si>
    <t>Workers Comp Insurance - Fire Co</t>
  </si>
  <si>
    <t>Foreign Fire Tax Expense</t>
  </si>
  <si>
    <t>Public Safety</t>
  </si>
  <si>
    <t>Zoning - General Enforcement</t>
  </si>
  <si>
    <t>Zoning Heard Board Allocation</t>
  </si>
  <si>
    <t>Code Enforcement Fees</t>
  </si>
  <si>
    <t>Planning Commission Expenses (moved)</t>
  </si>
  <si>
    <t>Annual Contract For Trash Collection</t>
  </si>
  <si>
    <t>Allowance For Bad Debts</t>
  </si>
  <si>
    <t>Munibilling</t>
  </si>
  <si>
    <t>Court Filing Fees - Delinquent Accts</t>
  </si>
  <si>
    <t>PW - PT Wages</t>
  </si>
  <si>
    <t>PW - Supplies and Materials</t>
  </si>
  <si>
    <t>PW - Streets/Alley Repairs</t>
  </si>
  <si>
    <t>PW - Cleaning of Streets (Contracted)</t>
  </si>
  <si>
    <t>PW - Fuel</t>
  </si>
  <si>
    <t>PW - Snow Removal (Contracted)</t>
  </si>
  <si>
    <t xml:space="preserve">PW - Highway/Road Materials </t>
  </si>
  <si>
    <t>PW - Equipment Repair</t>
  </si>
  <si>
    <t>PW - Vehicle Repairs</t>
  </si>
  <si>
    <t>Debt Service</t>
  </si>
  <si>
    <t xml:space="preserve">Debt Service - Principal &amp; Interest </t>
  </si>
  <si>
    <t>Debt Service - Interest</t>
  </si>
  <si>
    <t xml:space="preserve">Recreation </t>
  </si>
  <si>
    <t>Parks - Operating Supplies</t>
  </si>
  <si>
    <t>Equipment Replacement Project</t>
  </si>
  <si>
    <t>Donations and Contributions</t>
  </si>
  <si>
    <t>Canal Commission</t>
  </si>
  <si>
    <t>United Vets</t>
  </si>
  <si>
    <t>Library</t>
  </si>
  <si>
    <t>Carbon County K-9</t>
  </si>
  <si>
    <t>Employer Portion of FICA -7.65%</t>
  </si>
  <si>
    <t>PA Unemployment Compensation Fund</t>
  </si>
  <si>
    <t>Auto Insurance - Property &amp; Casualty</t>
  </si>
  <si>
    <t>Public Officials - Liability</t>
  </si>
  <si>
    <t xml:space="preserve">Workers Compensation </t>
  </si>
  <si>
    <t>Offset By Revenue in 355</t>
  </si>
  <si>
    <t xml:space="preserve">Liquid Fuels - Expenses </t>
  </si>
  <si>
    <t>Liquid Fuels - Road Project</t>
  </si>
  <si>
    <t>Liquid Fuels - Road Materials</t>
  </si>
  <si>
    <t xml:space="preserve">Liquid Fuels - Salt </t>
  </si>
  <si>
    <t>Due To Highway Aid Fund - Repayment Plan</t>
  </si>
  <si>
    <t>Grant Expenses</t>
  </si>
  <si>
    <t>Total Expenditures</t>
  </si>
  <si>
    <t>General Purpose Expenses</t>
  </si>
  <si>
    <t>Total Net Income / (Net Loss)</t>
  </si>
  <si>
    <t>Net Income/(Net Loss) - General Purpose</t>
  </si>
  <si>
    <t xml:space="preserve">   0130120 Real Estate Taxes - Prior Year's Levy - General</t>
  </si>
  <si>
    <t xml:space="preserve">   0130140 RE Taxes - Tax Claim Bureau - General</t>
  </si>
  <si>
    <t xml:space="preserve">   0131002 Per Capita Taxes - Prior Year's Levy</t>
  </si>
  <si>
    <t xml:space="preserve">   0131021 Earned Income Taxes - Current Yr Levy</t>
  </si>
  <si>
    <t xml:space="preserve">   0131901 Real Estate Penalities</t>
  </si>
  <si>
    <t xml:space="preserve">   0133113 Fines - State Police</t>
  </si>
  <si>
    <t xml:space="preserve">   0134000 Interest</t>
  </si>
  <si>
    <t xml:space="preserve">      3534101 Interest - Highway Aid</t>
  </si>
  <si>
    <t xml:space="preserve">   Total 0134000 Interest</t>
  </si>
  <si>
    <t xml:space="preserve">   0330112 Prior Year - RE Taxes - Fire Co</t>
  </si>
  <si>
    <t xml:space="preserve">   0836430 Solid Waste Fees - current</t>
  </si>
  <si>
    <t xml:space="preserve">   0836431 Solid Waste Fees - Delinquent</t>
  </si>
  <si>
    <t xml:space="preserve">   Occupational Taxes - Delinquent</t>
  </si>
  <si>
    <t xml:space="preserve">   Per Capita Taxes - Delinquent</t>
  </si>
  <si>
    <t xml:space="preserve">   RE Taxes - Tax Claim Bureau - Fire Tax</t>
  </si>
  <si>
    <t>Gross Profit</t>
  </si>
  <si>
    <t xml:space="preserve">   0140015 Council Salaries</t>
  </si>
  <si>
    <t xml:space="preserve">   0140042 Borough Council - Dues/Seminars</t>
  </si>
  <si>
    <t xml:space="preserve">   0140064 Uniform Construction Code</t>
  </si>
  <si>
    <t xml:space="preserve">   0140115 Mayor Salary</t>
  </si>
  <si>
    <t xml:space="preserve">   0140315 Tax Collector Commission</t>
  </si>
  <si>
    <t xml:space="preserve">   0140431 Legal Expenses</t>
  </si>
  <si>
    <t xml:space="preserve">   0140511 Sec/Treas Salary</t>
  </si>
  <si>
    <t xml:space="preserve">   0140521 Office Materials/Supplies</t>
  </si>
  <si>
    <t xml:space="preserve">   0140522 QuickBooks Subscription</t>
  </si>
  <si>
    <t xml:space="preserve">   0140524 Secretary - Postage</t>
  </si>
  <si>
    <t xml:space="preserve">   0140933 Internet Service</t>
  </si>
  <si>
    <t xml:space="preserve">   0140936 Electric</t>
  </si>
  <si>
    <t xml:space="preserve">   0140937 Heat</t>
  </si>
  <si>
    <t xml:space="preserve">   0141411 Zoning Officer Salary</t>
  </si>
  <si>
    <t xml:space="preserve">   0143000 Highway Salary</t>
  </si>
  <si>
    <t xml:space="preserve">   0143011 Fuel</t>
  </si>
  <si>
    <t xml:space="preserve">   0143060 Minor Equipment Repairs</t>
  </si>
  <si>
    <t xml:space="preserve">   0143400 Street Lights</t>
  </si>
  <si>
    <t xml:space="preserve">   0146500 Misc Expenses</t>
  </si>
  <si>
    <t xml:space="preserve">   0147100 Road Repair Loan - Principal</t>
  </si>
  <si>
    <t xml:space="preserve">   0147200 Road Repair Loan - Interest Expense</t>
  </si>
  <si>
    <t xml:space="preserve">   0148100 Payroll Taxes - Employer</t>
  </si>
  <si>
    <t xml:space="preserve">   0441101 Communication Center</t>
  </si>
  <si>
    <t xml:space="preserve">   0842427 Third Party Collections - Solid Waste Fees</t>
  </si>
  <si>
    <t xml:space="preserve">   6560 Payroll Expenses</t>
  </si>
  <si>
    <t xml:space="preserve">      Taxes</t>
  </si>
  <si>
    <t xml:space="preserve">      Wages</t>
  </si>
  <si>
    <t xml:space="preserve">   Total 6560 Payroll Expenses</t>
  </si>
  <si>
    <t xml:space="preserve">   Reimbursements</t>
  </si>
  <si>
    <t>Net Operating Income</t>
  </si>
  <si>
    <t>Other Expenses</t>
  </si>
  <si>
    <t xml:space="preserve">   Reconciliation Discrepancies</t>
  </si>
  <si>
    <t>Total Other Expenses</t>
  </si>
  <si>
    <t>Net Other Income</t>
  </si>
  <si>
    <t>Net Income</t>
  </si>
  <si>
    <t xml:space="preserve">         0110000 PLGIT - General Fund Account</t>
  </si>
  <si>
    <t xml:space="preserve">         0110500 PLGIT - Playground Fund</t>
  </si>
  <si>
    <t xml:space="preserve">         0110600 FIRST NIAGARA - SAVINGS ACCOUNT</t>
  </si>
  <si>
    <t xml:space="preserve">            Playground Fund</t>
  </si>
  <si>
    <t xml:space="preserve">         Total 0110600 FIRST NIAGARA - SAVINGS ACCOUNT</t>
  </si>
  <si>
    <t xml:space="preserve">         0111000 Petty Cash</t>
  </si>
  <si>
    <t xml:space="preserve">         0310000 PLGIT -Fire Tax Account</t>
  </si>
  <si>
    <t xml:space="preserve">         0810000 M&amp;T - General Fund Account</t>
  </si>
  <si>
    <t xml:space="preserve">         0810001 PLGIT - Solid Waste Fund</t>
  </si>
  <si>
    <t xml:space="preserve">         3010000 PLGIT - Waste Development</t>
  </si>
  <si>
    <t xml:space="preserve">         3510000 PLGIT- Highway Aid Checking</t>
  </si>
  <si>
    <t xml:space="preserve">         M&amp;T - Borough Waste Removal</t>
  </si>
  <si>
    <t xml:space="preserve">      Total Bank Accounts</t>
  </si>
  <si>
    <t>PLGIT - Playground Fund</t>
  </si>
  <si>
    <t xml:space="preserve">      Correction From Prior Year</t>
  </si>
  <si>
    <t xml:space="preserve">   Interest Income </t>
  </si>
  <si>
    <t>2017</t>
  </si>
  <si>
    <t xml:space="preserve">   0140142 Mayor - Dues &amp; Subscriptions</t>
  </si>
  <si>
    <t>PARRYVILLE BOROUGH - 2017 PRELIMINARY BUDGET - GENERAL FUND REVENUE</t>
  </si>
  <si>
    <t>2 of 5 payments</t>
  </si>
  <si>
    <t>Updated for 2017</t>
  </si>
  <si>
    <t>Real Estate Taxes - Prior Year - General</t>
  </si>
  <si>
    <t>Real Estate Taxes - Prior Year - Fire Protection</t>
  </si>
  <si>
    <t>Tax Claim Bureau -Fire Protection</t>
  </si>
  <si>
    <t>Occupation Taxes - Penalties</t>
  </si>
  <si>
    <t>Occupation Taxes - Delinquent</t>
  </si>
  <si>
    <t>Per Capita - Penalties</t>
  </si>
  <si>
    <t>Based on 2016 Actual</t>
  </si>
  <si>
    <t>(355) Foreign Fire Tax</t>
  </si>
  <si>
    <t>(364) Solid Waste</t>
  </si>
  <si>
    <t>PARRYVILLE BOROUGH - 2017 PRELIMINARY BUDGET -  EXPENDITURES</t>
  </si>
  <si>
    <t>1/2 in 2016 and 1/2 in 2017</t>
  </si>
  <si>
    <t>Based on Revised TAR - 54438</t>
  </si>
  <si>
    <t>Fire Equipment Fund</t>
  </si>
  <si>
    <t>UCC Enforcement Fees</t>
  </si>
  <si>
    <t>Need to adjust pay scale on resolution</t>
  </si>
  <si>
    <t xml:space="preserve">Hours Per Year Available </t>
  </si>
  <si>
    <t>PW - Street Sign Replacement Project</t>
  </si>
  <si>
    <t xml:space="preserve">PW - Rental of Equipment </t>
  </si>
  <si>
    <t xml:space="preserve">Look for grants </t>
  </si>
  <si>
    <t>Note paid off 3Q of 2018</t>
  </si>
  <si>
    <t>Carbon Animal Rescue Team</t>
  </si>
  <si>
    <t>(455) Special Purpose Expenses</t>
  </si>
  <si>
    <t>(411) Foreign Fire Tax</t>
  </si>
  <si>
    <t>(426) Solid Waste</t>
  </si>
  <si>
    <t>Net Income/(Net Loss) - Liquid Fuels</t>
  </si>
  <si>
    <t>Net Income/(Net Loss) - Foreign Fire Tax</t>
  </si>
  <si>
    <t>Net Income/(Net Loss) - Solid Waste</t>
  </si>
  <si>
    <t>Fire Company - Equipment Fund</t>
  </si>
  <si>
    <t xml:space="preserve">   0131040 Occupational Priv Tax (Act 511)</t>
  </si>
  <si>
    <t xml:space="preserve">   0137000 Sale of Material</t>
  </si>
  <si>
    <t xml:space="preserve">   3535502 Liquid Fuels Tax</t>
  </si>
  <si>
    <t xml:space="preserve">   0140534 Advertising</t>
  </si>
  <si>
    <t xml:space="preserve">   0140932 Telephone Service</t>
  </si>
  <si>
    <t xml:space="preserve">   0143012 Borough Worker Supplies</t>
  </si>
  <si>
    <t xml:space="preserve">   0148602 Worker's Comp Insurance</t>
  </si>
  <si>
    <t xml:space="preserve">   0411030 Fire Company Expenses</t>
  </si>
  <si>
    <t xml:space="preserve">   490.21 Liquid Fuel Expenses</t>
  </si>
  <si>
    <t xml:space="preserve">   0131010 Real Estate Transfer Tax</t>
  </si>
  <si>
    <t xml:space="preserve">   0133110 Fines - District Magistrate</t>
  </si>
  <si>
    <t xml:space="preserve">   0134210 Rent of Land</t>
  </si>
  <si>
    <t xml:space="preserve">   0143051 Street/Alley Repair</t>
  </si>
  <si>
    <t xml:space="preserve">   0145003 United Vet Donation</t>
  </si>
  <si>
    <t xml:space="preserve">   0139500 Refund of prior year expenditure</t>
  </si>
  <si>
    <t xml:space="preserve">   Pending</t>
  </si>
  <si>
    <t xml:space="preserve">   0140320 Tax Collector - Materials and Supplies</t>
  </si>
  <si>
    <t xml:space="preserve">   0140525 Bank Fees</t>
  </si>
  <si>
    <t xml:space="preserve">   0143010 Materials/Supplies</t>
  </si>
  <si>
    <t>.</t>
  </si>
  <si>
    <t xml:space="preserve">   0130110 Real Estate Taxes - General - Current Year</t>
  </si>
  <si>
    <t xml:space="preserve">   0130510 Occupation Taxes - Current Year's Levy</t>
  </si>
  <si>
    <t xml:space="preserve">   0131001 Per Capita Taxes - Current Year Levy</t>
  </si>
  <si>
    <t xml:space="preserve">   0330111 Fire Company Tax - Current Year</t>
  </si>
  <si>
    <t xml:space="preserve">   301.101 RE Taxes - General - Discount</t>
  </si>
  <si>
    <t xml:space="preserve">   301.111 RE Taxes - Fire Tax - Discount</t>
  </si>
  <si>
    <t xml:space="preserve">   305.11 Occupation Taxes - Discount</t>
  </si>
  <si>
    <t xml:space="preserve">   310.011 Per Capita Taxes - Discount</t>
  </si>
  <si>
    <t>January - July, 2017</t>
  </si>
  <si>
    <t xml:space="preserve">   0138700 Contributions &amp; Donations from Private Sources</t>
  </si>
  <si>
    <t xml:space="preserve">   0140026 Website Design &amp; Updates</t>
  </si>
  <si>
    <t xml:space="preserve">   0140063 Code Enforcement Officer</t>
  </si>
  <si>
    <t xml:space="preserve">   0140835 Engineering Fees - Road Projects</t>
  </si>
  <si>
    <t xml:space="preserve">   0142900 Contracted Services - Grass Cutting</t>
  </si>
  <si>
    <t xml:space="preserve">   0145004 Parryville Band Donation</t>
  </si>
  <si>
    <t xml:space="preserve">   0145005 Canal Commission Donation</t>
  </si>
  <si>
    <t xml:space="preserve">   3547200 Liquid Fuels - Truck Loan Interest</t>
  </si>
  <si>
    <t>Tuesday, Aug 15, 2017 06:22:28 PM GMT-7 - Cash Basis</t>
  </si>
  <si>
    <t>January - August, 2017</t>
  </si>
  <si>
    <t xml:space="preserve">   0140062 Sewage Enforcement Officer</t>
  </si>
  <si>
    <t xml:space="preserve">Engineering Fees - MS4 Waiver </t>
  </si>
  <si>
    <t xml:space="preserve">Engineering Fees - Playground Grant  </t>
  </si>
  <si>
    <t xml:space="preserve">Engineering Fees - Fireline Road Grant   </t>
  </si>
  <si>
    <t xml:space="preserve">NEW </t>
  </si>
  <si>
    <t xml:space="preserve">Grant Revenue - CCOG - Pass Thru </t>
  </si>
  <si>
    <t>For the period ended: October 31, 2017</t>
  </si>
  <si>
    <t>October</t>
  </si>
  <si>
    <t>(11.50 mills)</t>
  </si>
  <si>
    <t>( 1.0 mills)</t>
  </si>
  <si>
    <t>January - October, 2017</t>
  </si>
  <si>
    <t xml:space="preserve">   0130113 RE Taxes - General - Discount</t>
  </si>
  <si>
    <t xml:space="preserve">   0130530 Occupation Taxes - Discount</t>
  </si>
  <si>
    <t xml:space="preserve">   0131003 Per Capita Taxes - Delinquent</t>
  </si>
  <si>
    <t xml:space="preserve">   0131004 Per Capita Taxes - Discount</t>
  </si>
  <si>
    <t xml:space="preserve">   0131041 Occupational Taxes - Delinquent</t>
  </si>
  <si>
    <t xml:space="preserve">   0131902 Real Estate Penalities - Fire Co</t>
  </si>
  <si>
    <t xml:space="preserve">   0131910 Per Capita Tax - Penalities</t>
  </si>
  <si>
    <t xml:space="preserve">      0134102 Interest - East Penn Savings</t>
  </si>
  <si>
    <t xml:space="preserve">   0135504 Alcoholic Beverage License</t>
  </si>
  <si>
    <t xml:space="preserve">   0135507 Foreign Fire Insurance Premium Tax</t>
  </si>
  <si>
    <t xml:space="preserve">   0136130 Zoning/Building Permits</t>
  </si>
  <si>
    <t xml:space="preserve">   0330113 RE Taxes - Tax Claim Bureau - Fire Tax</t>
  </si>
  <si>
    <t xml:space="preserve">   0330114 RE Taxes - Fire Tax - Discount</t>
  </si>
  <si>
    <t xml:space="preserve">   Misc Income</t>
  </si>
  <si>
    <t xml:space="preserve">   0140832 Engineering Fees - 537 Plan</t>
  </si>
  <si>
    <t xml:space="preserve">   0140834 Engineering Fees - Planning Commission</t>
  </si>
  <si>
    <t xml:space="preserve">   0140837 Engineering Fees MS4 Project</t>
  </si>
  <si>
    <t xml:space="preserve">   0140838 Engineering Fees Road Grants</t>
  </si>
  <si>
    <t xml:space="preserve">   0140839 Engineering Fees  Park Grant</t>
  </si>
  <si>
    <t xml:space="preserve">   0141104 Foreign Fire Insurance Expense</t>
  </si>
  <si>
    <t xml:space="preserve">   0145004 Lehighton Library Donations</t>
  </si>
  <si>
    <t xml:space="preserve">   0148603 Public Officals Insurance</t>
  </si>
  <si>
    <t xml:space="preserve">   0148604 Vehicle &amp; Property Insurance</t>
  </si>
  <si>
    <t xml:space="preserve">   0842428 Recycling Collection Expense</t>
  </si>
  <si>
    <t xml:space="preserve">   0842429 Munibilling Fees</t>
  </si>
  <si>
    <t>Saturday, Nov 04, 2017 04:26:27 PM GMT-7 - Cash Basis</t>
  </si>
  <si>
    <t>Approved On: 11/13/2017</t>
  </si>
  <si>
    <t>Month Ended:  October 31, 2017</t>
  </si>
  <si>
    <t>Month End: October 31, 2017</t>
  </si>
  <si>
    <t>Cash, Balance @ 10/31/17 - per general ledger</t>
  </si>
  <si>
    <t>Adjusted Cash, Balance @ 10/31/2017</t>
  </si>
  <si>
    <t>As of October 31, 2017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</si>
</sst>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  <numFmt numFmtId="177" formatCode="[$-409]dddd\,\ mmmm\ dd\,\ yyyy"/>
    <numFmt numFmtId="178" formatCode="[$-409]mmmm\ d\,\ yyyy;@"/>
    <numFmt numFmtId="179" formatCode="#,##0.0_);\(#,##0.0\)"/>
    <numFmt numFmtId="180" formatCode="_(* #,##0_);_(* \(#,##0\);_(* &quot;-&quot;??_);_(@_)"/>
    <numFmt numFmtId="181" formatCode="_(&quot;₩&quot;* #,##0.00_);_(&quot;₩&quot;* \(#,##0.00\);_(&quot;₩&quot;* &quot;-&quot;??_);_(* @_)"/>
    <numFmt numFmtId="182" formatCode="_(* #,##0.0_);_(* \(#,##0.0\);_(* &quot;-&quot;??_);_(@_)"/>
    <numFmt numFmtId="183" formatCode="_(* #,##0.0000_);_(* \(#,##0.0000\);_(* &quot;-&quot;????_);_(@_)"/>
    <numFmt numFmtId="184" formatCode="_(* #,##0.000_);_(* \(#,##0.000\);_(* &quot;-&quot;???_);_(@_)"/>
    <numFmt numFmtId="185" formatCode="_(* #,##0.00000_);_(* \(#,##0.00000\);_(* &quot;-&quot;?????_);_(@_)"/>
    <numFmt numFmtId="186" formatCode="#,##0.00;[Red]#,##0.00"/>
    <numFmt numFmtId="187" formatCode="&quot;₩&quot;* #,##0.00"/>
    <numFmt numFmtId="188" formatCode="_(&quot;₩&quot;* #,##0.0_);_(&quot;₩&quot;* \(#,##0.0\);_(&quot;₩&quot;* &quot;-&quot;??_);_(@_)"/>
    <numFmt numFmtId="189" formatCode="_(&quot;₩&quot;* #,##0_);_(&quot;₩&quot;* \(#,##0\);_(&quot;₩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#,##0.0"/>
    <numFmt numFmtId="196" formatCode="0.0"/>
    <numFmt numFmtId="197" formatCode="#,##0.000000000000_);\(#,##0.000000000000\)"/>
    <numFmt numFmtId="198" formatCode="_(&quot;₩&quot;* #,##0_);_(&quot;₩&quot;* \(#,##0\);_(&quot;₩&quot;* &quot;-&quot;_);_(@_)"/>
    <numFmt numFmtId="199" formatCode="_(&quot;₩&quot;* #,##0.00_);_(&quot;₩&quot;* \(#,##0.00\);_(&quot;₩&quot;* &quot;-&quot;??_);_(@_)"/>
    <numFmt numFmtId="200" formatCode="#,##0.0000000000000_);\(#,##0.0000000000000\)"/>
    <numFmt numFmtId="201" formatCode="#,##0.00000000000000_);\(#,##0.00000000000000\)"/>
    <numFmt numFmtId="202" formatCode="#,##0.000000000000000_);\(#,##0.000000000000000\)"/>
    <numFmt numFmtId="203" formatCode="#,##0.00000000000_);\(#,##0.00000000000\)"/>
    <numFmt numFmtId="204" formatCode="#,##0.0000000000_);\(#,##0.0000000000\)"/>
    <numFmt numFmtId="205" formatCode="#,##0.000000000_);\(#,##0.000000000\)"/>
    <numFmt numFmtId="206" formatCode="#,##0.00000000_);\(#,##0.00000000\)"/>
    <numFmt numFmtId="207" formatCode="#,##0.0000000_);\(#,##0.0000000\)"/>
    <numFmt numFmtId="208" formatCode="#,##0.000000_);\(#,##0.000000\)"/>
    <numFmt numFmtId="209" formatCode="#,##0.00000_);\(#,##0.00000\)"/>
    <numFmt numFmtId="210" formatCode="#,##0.0000_);\(#,##0.0000\)"/>
    <numFmt numFmtId="211" formatCode="#,##0.000_);\(#,##0.000\)"/>
    <numFmt numFmtId="212" formatCode="#,##0.00\ _€"/>
    <numFmt numFmtId="213" formatCode="&quot;₩&quot;* #,##0.00\ _€"/>
    <numFmt numFmtId="214" formatCode="&quot;$&quot;* #,##0.00\ _€"/>
    <numFmt numFmtId="215" formatCode="_(&quot;$&quot;* #,##0_);_(&quot;$&quot;* \(#,##0\);_(&quot;$&quot;* &quot;-&quot;??_);_(@_)"/>
    <numFmt numFmtId="216" formatCode="[$-409]dddd\,\ mmmm\ d\,\ yyyy"/>
    <numFmt numFmtId="217" formatCode="[$-409]h:mm:ss\ AM/PM"/>
    <numFmt numFmtId="218" formatCode="&quot;$&quot;#,##0.00"/>
  </numFmts>
  <fonts count="60">
    <font>
      <sz val="10"/>
      <name val="Arial"/>
      <family val="0"/>
    </font>
    <font>
      <sz val="11"/>
      <color indexed="8"/>
      <name val="Calibri"/>
      <family val="0"/>
    </font>
    <font>
      <sz val="8"/>
      <name val="Arial"/>
      <family val="0"/>
    </font>
    <font>
      <sz val="10"/>
      <name val="Bookman Old Style"/>
      <family val="0"/>
    </font>
    <font>
      <b/>
      <sz val="10"/>
      <name val="Bookman Old Style"/>
      <family val="0"/>
    </font>
    <font>
      <b/>
      <sz val="12"/>
      <name val="Bookman Old Style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color indexed="10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u val="single"/>
      <sz val="10"/>
      <name val="Bookman Old Style"/>
      <family val="0"/>
    </font>
    <font>
      <sz val="8"/>
      <name val="Bookman Old Style"/>
      <family val="0"/>
    </font>
    <font>
      <b/>
      <sz val="8"/>
      <name val="Bookman Old Style"/>
      <family val="0"/>
    </font>
    <font>
      <sz val="10"/>
      <color indexed="10"/>
      <name val="Bookman Old Styl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4" borderId="1" applyNumberFormat="0" applyAlignment="0" applyProtection="0"/>
    <xf numFmtId="0" fontId="54" fillId="0" borderId="6" applyNumberFormat="0" applyFill="0" applyAlignment="0" applyProtection="0"/>
    <xf numFmtId="0" fontId="55" fillId="35" borderId="0" applyNumberFormat="0" applyBorder="0" applyAlignment="0" applyProtection="0"/>
    <xf numFmtId="0" fontId="0" fillId="0" borderId="0">
      <alignment/>
      <protection/>
    </xf>
    <xf numFmtId="0" fontId="0" fillId="36" borderId="7" applyNumberFormat="0" applyFont="0" applyAlignment="0" applyProtection="0"/>
    <xf numFmtId="0" fontId="56" fillId="27" borderId="8" applyNumberFormat="0" applyAlignment="0" applyProtection="0"/>
    <xf numFmtId="0" fontId="1" fillId="3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Continuous" vertical="center" wrapText="1"/>
    </xf>
    <xf numFmtId="176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4" fontId="11" fillId="0" borderId="0" xfId="0" applyNumberFormat="1" applyFont="1" applyAlignment="1">
      <alignment wrapText="1"/>
    </xf>
    <xf numFmtId="0" fontId="12" fillId="0" borderId="0" xfId="0" applyFont="1" applyAlignment="1">
      <alignment horizontal="left" wrapText="1"/>
    </xf>
    <xf numFmtId="4" fontId="11" fillId="0" borderId="0" xfId="0" applyNumberFormat="1" applyFont="1" applyAlignment="1">
      <alignment horizontal="right" wrapText="1"/>
    </xf>
    <xf numFmtId="4" fontId="11" fillId="0" borderId="11" xfId="0" applyNumberFormat="1" applyFont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" fontId="11" fillId="0" borderId="12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39" fontId="11" fillId="0" borderId="13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43" fontId="13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43" fontId="12" fillId="0" borderId="0" xfId="0" applyNumberFormat="1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2" fillId="0" borderId="0" xfId="0" applyNumberFormat="1" applyFont="1" applyAlignment="1">
      <alignment horizontal="left" wrapText="1"/>
    </xf>
    <xf numFmtId="43" fontId="14" fillId="0" borderId="0" xfId="0" applyNumberFormat="1" applyFont="1" applyBorder="1" applyAlignment="1">
      <alignment horizontal="right" wrapText="1"/>
    </xf>
    <xf numFmtId="43" fontId="0" fillId="0" borderId="0" xfId="0" applyNumberFormat="1" applyFont="1" applyAlignment="1">
      <alignment/>
    </xf>
    <xf numFmtId="43" fontId="14" fillId="0" borderId="11" xfId="0" applyNumberFormat="1" applyFont="1" applyBorder="1" applyAlignment="1">
      <alignment horizontal="right" wrapText="1"/>
    </xf>
    <xf numFmtId="40" fontId="14" fillId="0" borderId="12" xfId="0" applyNumberFormat="1" applyFont="1" applyBorder="1" applyAlignment="1">
      <alignment horizontal="right" wrapText="1"/>
    </xf>
    <xf numFmtId="43" fontId="11" fillId="0" borderId="0" xfId="0" applyNumberFormat="1" applyFont="1" applyBorder="1" applyAlignment="1">
      <alignment horizontal="left" wrapText="1"/>
    </xf>
    <xf numFmtId="43" fontId="11" fillId="0" borderId="11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right" wrapText="1"/>
    </xf>
    <xf numFmtId="180" fontId="0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9" fontId="11" fillId="0" borderId="13" xfId="0" applyNumberFormat="1" applyFont="1" applyBorder="1" applyAlignment="1">
      <alignment/>
    </xf>
    <xf numFmtId="43" fontId="1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0" fontId="14" fillId="0" borderId="11" xfId="0" applyNumberFormat="1" applyFont="1" applyBorder="1" applyAlignment="1">
      <alignment horizontal="right" wrapText="1"/>
    </xf>
    <xf numFmtId="199" fontId="1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99" fontId="0" fillId="0" borderId="0" xfId="0" applyNumberFormat="1" applyAlignment="1">
      <alignment/>
    </xf>
    <xf numFmtId="39" fontId="11" fillId="0" borderId="0" xfId="0" applyNumberFormat="1" applyFont="1" applyBorder="1" applyAlignment="1">
      <alignment horizontal="right" wrapText="1"/>
    </xf>
    <xf numFmtId="39" fontId="11" fillId="0" borderId="11" xfId="0" applyNumberFormat="1" applyFont="1" applyBorder="1" applyAlignment="1">
      <alignment horizontal="right" wrapText="1"/>
    </xf>
    <xf numFmtId="43" fontId="3" fillId="0" borderId="0" xfId="0" applyNumberFormat="1" applyFont="1" applyAlignment="1">
      <alignment/>
    </xf>
    <xf numFmtId="43" fontId="5" fillId="0" borderId="0" xfId="0" applyNumberFormat="1" applyFont="1" applyAlignment="1">
      <alignment horizontal="centerContinuous" vertical="center" wrapText="1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11" fillId="0" borderId="0" xfId="0" applyNumberFormat="1" applyFont="1" applyAlignment="1">
      <alignment horizontal="right" wrapText="1"/>
    </xf>
    <xf numFmtId="43" fontId="11" fillId="0" borderId="11" xfId="0" applyNumberFormat="1" applyFont="1" applyBorder="1" applyAlignment="1">
      <alignment horizontal="right" wrapText="1"/>
    </xf>
    <xf numFmtId="3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80" fontId="0" fillId="0" borderId="1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4" fontId="14" fillId="0" borderId="0" xfId="0" applyNumberFormat="1" applyFont="1" applyAlignment="1">
      <alignment horizontal="right" wrapText="1"/>
    </xf>
    <xf numFmtId="43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" fontId="3" fillId="0" borderId="13" xfId="0" applyNumberFormat="1" applyFont="1" applyBorder="1" applyAlignment="1">
      <alignment/>
    </xf>
    <xf numFmtId="43" fontId="14" fillId="0" borderId="13" xfId="0" applyNumberFormat="1" applyFont="1" applyBorder="1" applyAlignment="1">
      <alignment horizontal="right" wrapText="1"/>
    </xf>
    <xf numFmtId="39" fontId="11" fillId="0" borderId="12" xfId="0" applyNumberFormat="1" applyFont="1" applyBorder="1" applyAlignment="1">
      <alignment horizontal="right" wrapText="1"/>
    </xf>
    <xf numFmtId="43" fontId="14" fillId="0" borderId="12" xfId="0" applyNumberFormat="1" applyFont="1" applyBorder="1" applyAlignment="1">
      <alignment horizontal="right" wrapText="1"/>
    </xf>
    <xf numFmtId="39" fontId="1" fillId="0" borderId="1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2" fontId="1" fillId="29" borderId="0" xfId="42" applyNumberFormat="1" applyAlignment="1">
      <alignment/>
    </xf>
    <xf numFmtId="0" fontId="6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80" fontId="0" fillId="0" borderId="0" xfId="44" applyNumberFormat="1" applyFont="1" applyAlignment="1">
      <alignment horizontal="center"/>
    </xf>
    <xf numFmtId="0" fontId="10" fillId="0" borderId="14" xfId="57" applyFont="1" applyBorder="1">
      <alignment/>
      <protection/>
    </xf>
    <xf numFmtId="0" fontId="15" fillId="0" borderId="14" xfId="57" applyFont="1" applyBorder="1">
      <alignment/>
      <protection/>
    </xf>
    <xf numFmtId="0" fontId="16" fillId="0" borderId="14" xfId="57" applyFont="1" applyBorder="1" applyAlignment="1" quotePrefix="1">
      <alignment horizontal="center"/>
      <protection/>
    </xf>
    <xf numFmtId="180" fontId="15" fillId="0" borderId="14" xfId="44" applyNumberFormat="1" applyFont="1" applyBorder="1" applyAlignment="1">
      <alignment horizontal="center"/>
    </xf>
    <xf numFmtId="0" fontId="15" fillId="0" borderId="14" xfId="57" applyFont="1" applyBorder="1" applyAlignment="1">
      <alignment horizontal="center"/>
      <protection/>
    </xf>
    <xf numFmtId="0" fontId="16" fillId="0" borderId="15" xfId="57" applyFont="1" applyBorder="1" applyAlignment="1" quotePrefix="1">
      <alignment horizontal="center"/>
      <protection/>
    </xf>
    <xf numFmtId="0" fontId="10" fillId="0" borderId="16" xfId="57" applyFont="1" applyBorder="1">
      <alignment/>
      <protection/>
    </xf>
    <xf numFmtId="0" fontId="15" fillId="0" borderId="16" xfId="57" applyFont="1" applyBorder="1">
      <alignment/>
      <protection/>
    </xf>
    <xf numFmtId="0" fontId="15" fillId="0" borderId="16" xfId="57" applyFont="1" applyBorder="1" applyAlignment="1">
      <alignment horizontal="center"/>
      <protection/>
    </xf>
    <xf numFmtId="180" fontId="15" fillId="0" borderId="16" xfId="44" applyNumberFormat="1" applyFont="1" applyBorder="1" applyAlignment="1">
      <alignment horizontal="center"/>
    </xf>
    <xf numFmtId="0" fontId="15" fillId="0" borderId="17" xfId="57" applyFont="1" applyBorder="1" applyAlignment="1">
      <alignment horizontal="center"/>
      <protection/>
    </xf>
    <xf numFmtId="0" fontId="10" fillId="0" borderId="18" xfId="57" applyFont="1" applyBorder="1">
      <alignment/>
      <protection/>
    </xf>
    <xf numFmtId="0" fontId="15" fillId="0" borderId="18" xfId="57" applyFont="1" applyBorder="1" applyAlignment="1">
      <alignment horizontal="center"/>
      <protection/>
    </xf>
    <xf numFmtId="180" fontId="15" fillId="0" borderId="18" xfId="44" applyNumberFormat="1" applyFont="1" applyBorder="1" applyAlignment="1">
      <alignment horizontal="center"/>
    </xf>
    <xf numFmtId="0" fontId="15" fillId="0" borderId="19" xfId="57" applyFont="1" applyBorder="1" applyAlignment="1">
      <alignment horizontal="center"/>
      <protection/>
    </xf>
    <xf numFmtId="37" fontId="0" fillId="0" borderId="0" xfId="44" applyNumberFormat="1" applyFont="1" applyAlignment="1">
      <alignment horizontal="center"/>
    </xf>
    <xf numFmtId="37" fontId="0" fillId="0" borderId="0" xfId="44" applyNumberFormat="1" applyFont="1" applyFill="1" applyAlignment="1">
      <alignment horizontal="center"/>
    </xf>
    <xf numFmtId="180" fontId="0" fillId="0" borderId="0" xfId="44" applyNumberFormat="1" applyFont="1" applyAlignment="1">
      <alignment horizontal="right"/>
    </xf>
    <xf numFmtId="0" fontId="0" fillId="0" borderId="20" xfId="57" applyFont="1" applyBorder="1">
      <alignment/>
      <protection/>
    </xf>
    <xf numFmtId="180" fontId="0" fillId="0" borderId="20" xfId="44" applyNumberFormat="1" applyFont="1" applyBorder="1" applyAlignment="1">
      <alignment horizontal="center"/>
    </xf>
    <xf numFmtId="37" fontId="0" fillId="0" borderId="20" xfId="44" applyNumberFormat="1" applyFont="1" applyFill="1" applyBorder="1" applyAlignment="1">
      <alignment horizontal="center"/>
    </xf>
    <xf numFmtId="37" fontId="0" fillId="0" borderId="20" xfId="44" applyNumberFormat="1" applyFont="1" applyFill="1" applyBorder="1" applyAlignment="1">
      <alignment horizontal="right"/>
    </xf>
    <xf numFmtId="0" fontId="0" fillId="0" borderId="20" xfId="57" applyFont="1" applyFill="1" applyBorder="1">
      <alignment/>
      <protection/>
    </xf>
    <xf numFmtId="0" fontId="6" fillId="0" borderId="20" xfId="57" applyFont="1" applyBorder="1">
      <alignment/>
      <protection/>
    </xf>
    <xf numFmtId="0" fontId="0" fillId="0" borderId="20" xfId="57" applyBorder="1">
      <alignment/>
      <protection/>
    </xf>
    <xf numFmtId="180" fontId="0" fillId="38" borderId="20" xfId="44" applyNumberFormat="1" applyFont="1" applyFill="1" applyBorder="1" applyAlignment="1">
      <alignment horizontal="center"/>
    </xf>
    <xf numFmtId="180" fontId="0" fillId="39" borderId="20" xfId="44" applyNumberFormat="1" applyFont="1" applyFill="1" applyBorder="1" applyAlignment="1">
      <alignment horizontal="center"/>
    </xf>
    <xf numFmtId="180" fontId="0" fillId="0" borderId="0" xfId="57" applyNumberFormat="1">
      <alignment/>
      <protection/>
    </xf>
    <xf numFmtId="180" fontId="0" fillId="0" borderId="20" xfId="44" applyNumberFormat="1" applyFont="1" applyFill="1" applyBorder="1" applyAlignment="1">
      <alignment horizontal="center"/>
    </xf>
    <xf numFmtId="37" fontId="0" fillId="0" borderId="0" xfId="57" applyNumberFormat="1">
      <alignment/>
      <protection/>
    </xf>
    <xf numFmtId="43" fontId="0" fillId="0" borderId="0" xfId="57" applyNumberFormat="1">
      <alignment/>
      <protection/>
    </xf>
    <xf numFmtId="180" fontId="0" fillId="0" borderId="11" xfId="44" applyNumberFormat="1" applyFont="1" applyBorder="1" applyAlignment="1">
      <alignment horizontal="center"/>
    </xf>
    <xf numFmtId="37" fontId="0" fillId="0" borderId="11" xfId="44" applyNumberFormat="1" applyFont="1" applyBorder="1" applyAlignment="1">
      <alignment horizontal="center"/>
    </xf>
    <xf numFmtId="180" fontId="0" fillId="0" borderId="11" xfId="44" applyNumberFormat="1" applyFont="1" applyBorder="1" applyAlignment="1">
      <alignment horizontal="right"/>
    </xf>
    <xf numFmtId="0" fontId="6" fillId="0" borderId="0" xfId="57" applyFont="1" applyAlignment="1">
      <alignment horizontal="center"/>
      <protection/>
    </xf>
    <xf numFmtId="215" fontId="17" fillId="0" borderId="11" xfId="47" applyNumberFormat="1" applyFont="1" applyBorder="1" applyAlignment="1">
      <alignment horizontal="right"/>
    </xf>
    <xf numFmtId="37" fontId="17" fillId="0" borderId="11" xfId="44" applyNumberFormat="1" applyFont="1" applyBorder="1" applyAlignment="1">
      <alignment horizontal="right"/>
    </xf>
    <xf numFmtId="37" fontId="0" fillId="0" borderId="11" xfId="44" applyNumberFormat="1" applyFont="1" applyBorder="1" applyAlignment="1">
      <alignment horizontal="right"/>
    </xf>
    <xf numFmtId="215" fontId="0" fillId="0" borderId="0" xfId="57" applyNumberFormat="1">
      <alignment/>
      <protection/>
    </xf>
    <xf numFmtId="3" fontId="0" fillId="0" borderId="12" xfId="47" applyNumberFormat="1" applyFont="1" applyBorder="1" applyAlignment="1">
      <alignment horizontal="right"/>
    </xf>
    <xf numFmtId="180" fontId="0" fillId="0" borderId="12" xfId="44" applyNumberFormat="1" applyFont="1" applyBorder="1" applyAlignment="1">
      <alignment horizontal="right"/>
    </xf>
    <xf numFmtId="3" fontId="0" fillId="0" borderId="12" xfId="47" applyNumberFormat="1" applyFont="1" applyBorder="1" applyAlignment="1">
      <alignment horizontal="center"/>
    </xf>
    <xf numFmtId="3" fontId="17" fillId="0" borderId="12" xfId="44" applyNumberFormat="1" applyFont="1" applyBorder="1" applyAlignment="1">
      <alignment horizontal="right"/>
    </xf>
    <xf numFmtId="180" fontId="17" fillId="0" borderId="12" xfId="44" applyNumberFormat="1" applyFont="1" applyBorder="1" applyAlignment="1">
      <alignment horizontal="right"/>
    </xf>
    <xf numFmtId="3" fontId="0" fillId="0" borderId="0" xfId="44" applyNumberFormat="1" applyFont="1" applyBorder="1" applyAlignment="1">
      <alignment horizontal="right"/>
    </xf>
    <xf numFmtId="180" fontId="0" fillId="0" borderId="0" xfId="44" applyNumberFormat="1" applyFont="1" applyBorder="1" applyAlignment="1">
      <alignment horizontal="right"/>
    </xf>
    <xf numFmtId="37" fontId="0" fillId="0" borderId="0" xfId="44" applyNumberFormat="1" applyFont="1" applyBorder="1" applyAlignment="1">
      <alignment horizontal="center"/>
    </xf>
    <xf numFmtId="37" fontId="0" fillId="0" borderId="0" xfId="44" applyNumberFormat="1" applyFont="1" applyAlignment="1">
      <alignment horizontal="right"/>
    </xf>
    <xf numFmtId="180" fontId="0" fillId="0" borderId="0" xfId="44" applyNumberFormat="1" applyFont="1" applyFill="1" applyAlignment="1">
      <alignment horizontal="center"/>
    </xf>
    <xf numFmtId="37" fontId="0" fillId="0" borderId="20" xfId="44" applyNumberFormat="1" applyFont="1" applyBorder="1" applyAlignment="1">
      <alignment horizontal="right"/>
    </xf>
    <xf numFmtId="180" fontId="0" fillId="40" borderId="20" xfId="44" applyNumberFormat="1" applyFont="1" applyFill="1" applyBorder="1" applyAlignment="1">
      <alignment horizontal="center"/>
    </xf>
    <xf numFmtId="180" fontId="17" fillId="0" borderId="20" xfId="44" applyNumberFormat="1" applyFont="1" applyFill="1" applyBorder="1" applyAlignment="1">
      <alignment horizontal="center"/>
    </xf>
    <xf numFmtId="180" fontId="0" fillId="0" borderId="20" xfId="44" applyNumberFormat="1" applyFont="1" applyFill="1" applyBorder="1" applyAlignment="1">
      <alignment horizontal="center"/>
    </xf>
    <xf numFmtId="180" fontId="0" fillId="0" borderId="20" xfId="44" applyNumberFormat="1" applyFont="1" applyBorder="1" applyAlignment="1">
      <alignment horizontal="right"/>
    </xf>
    <xf numFmtId="0" fontId="0" fillId="0" borderId="0" xfId="57" applyAlignment="1">
      <alignment horizontal="right"/>
      <protection/>
    </xf>
    <xf numFmtId="9" fontId="6" fillId="0" borderId="0" xfId="61" applyNumberFormat="1" applyFont="1" applyAlignment="1">
      <alignment horizontal="left"/>
    </xf>
    <xf numFmtId="180" fontId="0" fillId="39" borderId="20" xfId="44" applyNumberFormat="1" applyFont="1" applyFill="1" applyBorder="1" applyAlignment="1">
      <alignment horizontal="center"/>
    </xf>
    <xf numFmtId="43" fontId="0" fillId="40" borderId="0" xfId="57" applyNumberFormat="1" applyFill="1">
      <alignment/>
      <protection/>
    </xf>
    <xf numFmtId="0" fontId="0" fillId="40" borderId="0" xfId="57" applyFill="1">
      <alignment/>
      <protection/>
    </xf>
    <xf numFmtId="9" fontId="6" fillId="0" borderId="0" xfId="61" applyFont="1" applyAlignment="1">
      <alignment horizontal="left"/>
    </xf>
    <xf numFmtId="37" fontId="0" fillId="0" borderId="0" xfId="44" applyNumberFormat="1" applyFont="1" applyBorder="1" applyAlignment="1">
      <alignment horizontal="right"/>
    </xf>
    <xf numFmtId="180" fontId="0" fillId="0" borderId="20" xfId="44" applyNumberFormat="1" applyFont="1" applyFill="1" applyBorder="1" applyAlignment="1">
      <alignment horizontal="right"/>
    </xf>
    <xf numFmtId="0" fontId="6" fillId="0" borderId="0" xfId="57" applyFont="1" applyAlignment="1">
      <alignment horizontal="right"/>
      <protection/>
    </xf>
    <xf numFmtId="37" fontId="0" fillId="0" borderId="0" xfId="57" applyNumberFormat="1" applyAlignment="1">
      <alignment horizontal="right"/>
      <protection/>
    </xf>
    <xf numFmtId="180" fontId="0" fillId="0" borderId="0" xfId="57" applyNumberFormat="1" applyAlignment="1">
      <alignment horizontal="center"/>
      <protection/>
    </xf>
    <xf numFmtId="180" fontId="0" fillId="0" borderId="0" xfId="57" applyNumberFormat="1" applyAlignment="1">
      <alignment horizontal="right"/>
      <protection/>
    </xf>
    <xf numFmtId="0" fontId="0" fillId="0" borderId="11" xfId="57" applyBorder="1" applyAlignment="1">
      <alignment horizontal="center"/>
      <protection/>
    </xf>
    <xf numFmtId="0" fontId="0" fillId="0" borderId="11" xfId="57" applyBorder="1" applyAlignment="1">
      <alignment horizontal="right"/>
      <protection/>
    </xf>
    <xf numFmtId="37" fontId="0" fillId="0" borderId="0" xfId="44" applyNumberFormat="1" applyFont="1" applyFill="1" applyBorder="1" applyAlignment="1">
      <alignment horizontal="right"/>
    </xf>
    <xf numFmtId="215" fontId="0" fillId="0" borderId="12" xfId="47" applyNumberFormat="1" applyFont="1" applyBorder="1" applyAlignment="1">
      <alignment horizontal="right"/>
    </xf>
    <xf numFmtId="215" fontId="0" fillId="0" borderId="21" xfId="47" applyNumberFormat="1" applyFont="1" applyBorder="1" applyAlignment="1">
      <alignment horizontal="right"/>
    </xf>
    <xf numFmtId="37" fontId="0" fillId="0" borderId="13" xfId="57" applyNumberFormat="1" applyBorder="1" applyAlignment="1">
      <alignment horizontal="right"/>
      <protection/>
    </xf>
    <xf numFmtId="37" fontId="0" fillId="0" borderId="13" xfId="57" applyNumberFormat="1" applyBorder="1" applyAlignment="1">
      <alignment horizontal="center"/>
      <protection/>
    </xf>
    <xf numFmtId="215" fontId="0" fillId="0" borderId="11" xfId="47" applyNumberFormat="1" applyFont="1" applyBorder="1" applyAlignment="1">
      <alignment horizontal="right"/>
    </xf>
    <xf numFmtId="37" fontId="0" fillId="0" borderId="11" xfId="57" applyNumberFormat="1" applyBorder="1" applyAlignment="1">
      <alignment horizontal="right"/>
      <protection/>
    </xf>
    <xf numFmtId="37" fontId="0" fillId="0" borderId="11" xfId="57" applyNumberFormat="1" applyBorder="1" applyAlignment="1">
      <alignment horizontal="center"/>
      <protection/>
    </xf>
    <xf numFmtId="37" fontId="0" fillId="0" borderId="0" xfId="57" applyNumberFormat="1" applyBorder="1" applyAlignment="1">
      <alignment horizontal="right"/>
      <protection/>
    </xf>
    <xf numFmtId="180" fontId="0" fillId="0" borderId="13" xfId="44" applyNumberFormat="1" applyFont="1" applyBorder="1" applyAlignment="1">
      <alignment horizontal="right"/>
    </xf>
    <xf numFmtId="37" fontId="0" fillId="0" borderId="0" xfId="57" applyNumberFormat="1" applyAlignment="1">
      <alignment horizontal="center"/>
      <protection/>
    </xf>
    <xf numFmtId="43" fontId="0" fillId="0" borderId="0" xfId="57" applyNumberFormat="1" applyAlignment="1">
      <alignment horizontal="center"/>
      <protection/>
    </xf>
    <xf numFmtId="4" fontId="0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43" fontId="0" fillId="0" borderId="11" xfId="0" applyNumberFormat="1" applyFont="1" applyBorder="1" applyAlignment="1">
      <alignment/>
    </xf>
    <xf numFmtId="0" fontId="18" fillId="0" borderId="0" xfId="0" applyFont="1" applyAlignment="1">
      <alignment horizontal="left" wrapText="1"/>
    </xf>
    <xf numFmtId="212" fontId="19" fillId="0" borderId="0" xfId="0" applyNumberFormat="1" applyFont="1" applyAlignment="1">
      <alignment horizontal="right" wrapText="1"/>
    </xf>
    <xf numFmtId="214" fontId="18" fillId="0" borderId="21" xfId="0" applyNumberFormat="1" applyFont="1" applyBorder="1" applyAlignment="1">
      <alignment horizontal="right" wrapText="1"/>
    </xf>
    <xf numFmtId="218" fontId="1" fillId="29" borderId="0" xfId="42" applyNumberFormat="1" applyAlignment="1">
      <alignment/>
    </xf>
    <xf numFmtId="218" fontId="1" fillId="40" borderId="0" xfId="42" applyNumberFormat="1" applyFill="1" applyAlignment="1">
      <alignment/>
    </xf>
    <xf numFmtId="218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 wrapText="1"/>
    </xf>
    <xf numFmtId="37" fontId="5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 wrapText="1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/>
    </xf>
    <xf numFmtId="176" fontId="3" fillId="0" borderId="0" xfId="0" applyNumberFormat="1" applyFont="1" applyAlignment="1">
      <alignment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Alignment="1" quotePrefix="1">
      <alignment horizontal="center"/>
    </xf>
    <xf numFmtId="37" fontId="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37" fontId="4" fillId="0" borderId="11" xfId="0" applyNumberFormat="1" applyFont="1" applyFill="1" applyBorder="1" applyAlignment="1">
      <alignment horizontal="center"/>
    </xf>
    <xf numFmtId="37" fontId="4" fillId="0" borderId="11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211" fontId="3" fillId="0" borderId="0" xfId="0" applyNumberFormat="1" applyFont="1" applyAlignment="1">
      <alignment/>
    </xf>
    <xf numFmtId="37" fontId="3" fillId="0" borderId="11" xfId="0" applyNumberFormat="1" applyFont="1" applyBorder="1" applyAlignment="1">
      <alignment/>
    </xf>
    <xf numFmtId="37" fontId="3" fillId="38" borderId="22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Alignment="1">
      <alignment/>
    </xf>
    <xf numFmtId="39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6" fontId="4" fillId="0" borderId="0" xfId="0" applyNumberFormat="1" applyFont="1" applyAlignment="1">
      <alignment/>
    </xf>
    <xf numFmtId="37" fontId="2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9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7" fontId="3" fillId="0" borderId="11" xfId="0" applyNumberFormat="1" applyFont="1" applyFill="1" applyBorder="1" applyAlignment="1">
      <alignment/>
    </xf>
    <xf numFmtId="37" fontId="3" fillId="38" borderId="13" xfId="0" applyNumberFormat="1" applyFont="1" applyFill="1" applyBorder="1" applyAlignment="1">
      <alignment/>
    </xf>
    <xf numFmtId="37" fontId="3" fillId="41" borderId="1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6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 horizontal="right"/>
    </xf>
    <xf numFmtId="180" fontId="0" fillId="0" borderId="0" xfId="0" applyNumberFormat="1" applyFont="1" applyFill="1" applyAlignment="1">
      <alignment horizontal="right"/>
    </xf>
    <xf numFmtId="37" fontId="23" fillId="13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42" borderId="24" xfId="57" applyFont="1" applyFill="1" applyBorder="1" applyAlignment="1">
      <alignment/>
      <protection/>
    </xf>
    <xf numFmtId="0" fontId="8" fillId="42" borderId="25" xfId="57" applyFont="1" applyFill="1" applyBorder="1" applyAlignment="1">
      <alignment/>
      <protection/>
    </xf>
    <xf numFmtId="0" fontId="8" fillId="42" borderId="15" xfId="57" applyFont="1" applyFill="1" applyBorder="1" applyAlignment="1">
      <alignment/>
      <protection/>
    </xf>
    <xf numFmtId="0" fontId="8" fillId="42" borderId="26" xfId="57" applyFont="1" applyFill="1" applyBorder="1" applyAlignment="1">
      <alignment/>
      <protection/>
    </xf>
    <xf numFmtId="0" fontId="8" fillId="42" borderId="23" xfId="57" applyFont="1" applyFill="1" applyBorder="1" applyAlignment="1">
      <alignment/>
      <protection/>
    </xf>
    <xf numFmtId="0" fontId="8" fillId="42" borderId="19" xfId="57" applyFont="1" applyFill="1" applyBorder="1" applyAlignment="1">
      <alignment/>
      <protection/>
    </xf>
    <xf numFmtId="0" fontId="7" fillId="42" borderId="24" xfId="57" applyFont="1" applyFill="1" applyBorder="1" applyAlignment="1">
      <alignment horizontal="center"/>
      <protection/>
    </xf>
    <xf numFmtId="0" fontId="8" fillId="42" borderId="25" xfId="57" applyFont="1" applyFill="1" applyBorder="1" applyAlignment="1">
      <alignment horizontal="center"/>
      <protection/>
    </xf>
    <xf numFmtId="0" fontId="8" fillId="42" borderId="15" xfId="57" applyFont="1" applyFill="1" applyBorder="1" applyAlignment="1">
      <alignment horizontal="center"/>
      <protection/>
    </xf>
    <xf numFmtId="0" fontId="8" fillId="42" borderId="26" xfId="57" applyFont="1" applyFill="1" applyBorder="1" applyAlignment="1">
      <alignment horizontal="center"/>
      <protection/>
    </xf>
    <xf numFmtId="0" fontId="8" fillId="42" borderId="23" xfId="57" applyFont="1" applyFill="1" applyBorder="1" applyAlignment="1">
      <alignment horizontal="center"/>
      <protection/>
    </xf>
    <xf numFmtId="0" fontId="8" fillId="42" borderId="19" xfId="57" applyFont="1" applyFill="1" applyBorder="1" applyAlignment="1">
      <alignment horizontal="center"/>
      <protection/>
    </xf>
    <xf numFmtId="37" fontId="4" fillId="0" borderId="11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wrapText="1"/>
    </xf>
    <xf numFmtId="0" fontId="42" fillId="0" borderId="11" xfId="0" applyFont="1" applyBorder="1" applyAlignment="1">
      <alignment horizontal="center" wrapText="1"/>
    </xf>
    <xf numFmtId="212" fontId="19" fillId="0" borderId="0" xfId="0" applyNumberFormat="1" applyFont="1" applyAlignment="1">
      <alignment wrapText="1"/>
    </xf>
    <xf numFmtId="214" fontId="18" fillId="0" borderId="21" xfId="0" applyNumberFormat="1" applyFont="1" applyBorder="1" applyAlignment="1">
      <alignment horizontal="right" wrapText="1"/>
    </xf>
    <xf numFmtId="0" fontId="19" fillId="0" borderId="0" xfId="0" applyFont="1" applyAlignment="1">
      <alignment horizontal="center"/>
    </xf>
    <xf numFmtId="44" fontId="0" fillId="0" borderId="0" xfId="0" applyNumberFormat="1" applyAlignment="1">
      <alignment/>
    </xf>
    <xf numFmtId="176" fontId="3" fillId="0" borderId="0" xfId="0" applyNumberFormat="1" applyFont="1" applyAlignment="1">
      <alignment horizontal="center"/>
    </xf>
    <xf numFmtId="212" fontId="19" fillId="40" borderId="0" xfId="0" applyNumberFormat="1" applyFont="1" applyFill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rryville\Dropbox\11%20November%202015%20Meeting\3%20Treasurer's%20Report%20-%20October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a\AppData\Local\Temp\Preliminary%20Budget_Parryville%2020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ber 2015"/>
      <sheetName val="Fire Tax -Oct"/>
      <sheetName val="Liquid Fuels - Oct"/>
      <sheetName val="Solid Waste -Oct"/>
      <sheetName val="Playground-Oct"/>
      <sheetName val="BS - OCT"/>
      <sheetName val="Sheet3"/>
      <sheetName val="Worksheet"/>
      <sheetName val="OCT PL"/>
      <sheetName val="Balance Sheet"/>
      <sheetName val="Profit and Loss"/>
      <sheetName val="Profit and Loss "/>
      <sheetName val="Balance Sheet (2)"/>
    </sheetNames>
    <sheetDataSet>
      <sheetData sheetId="1">
        <row r="25">
          <cell r="C25">
            <v>-14089.63</v>
          </cell>
        </row>
      </sheetData>
      <sheetData sheetId="3">
        <row r="27">
          <cell r="C27">
            <v>-4950.849999999999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 Budget Worksheet (2)"/>
      <sheetName val="2017 Budget Worksheet"/>
      <sheetName val="RE Tax Calc"/>
      <sheetName val="Profit and Loss (2)"/>
    </sheetNames>
    <sheetDataSet>
      <sheetData sheetId="2">
        <row r="20">
          <cell r="F20">
            <v>115514.7885818182</v>
          </cell>
        </row>
        <row r="22">
          <cell r="F22">
            <v>9059.983418181819</v>
          </cell>
        </row>
      </sheetData>
      <sheetData sheetId="3">
        <row r="7">
          <cell r="B7">
            <v>98075.53</v>
          </cell>
        </row>
        <row r="8">
          <cell r="B8">
            <v>1694.87</v>
          </cell>
        </row>
        <row r="9">
          <cell r="B9">
            <v>9078.8</v>
          </cell>
        </row>
        <row r="10">
          <cell r="B10">
            <v>540</v>
          </cell>
        </row>
        <row r="11">
          <cell r="B11">
            <v>20</v>
          </cell>
        </row>
        <row r="12">
          <cell r="B12">
            <v>880</v>
          </cell>
        </row>
        <row r="13">
          <cell r="B13">
            <v>35</v>
          </cell>
        </row>
        <row r="14">
          <cell r="B14">
            <v>11677.68</v>
          </cell>
        </row>
        <row r="15">
          <cell r="B15">
            <v>29724.05</v>
          </cell>
        </row>
        <row r="16">
          <cell r="B16">
            <v>1420.8</v>
          </cell>
        </row>
        <row r="17">
          <cell r="B17">
            <v>169.51</v>
          </cell>
        </row>
        <row r="18">
          <cell r="B18">
            <v>7.2</v>
          </cell>
        </row>
        <row r="19">
          <cell r="B19">
            <v>2</v>
          </cell>
        </row>
        <row r="20">
          <cell r="B20">
            <v>3.5</v>
          </cell>
        </row>
        <row r="21">
          <cell r="B21">
            <v>5</v>
          </cell>
        </row>
        <row r="22">
          <cell r="B22">
            <v>144.57</v>
          </cell>
        </row>
        <row r="23">
          <cell r="B23">
            <v>96.25</v>
          </cell>
        </row>
        <row r="24">
          <cell r="B24">
            <v>59.48</v>
          </cell>
        </row>
        <row r="26">
          <cell r="B26">
            <v>12</v>
          </cell>
        </row>
        <row r="27">
          <cell r="B27">
            <v>201.36</v>
          </cell>
        </row>
        <row r="28">
          <cell r="B28">
            <v>300</v>
          </cell>
        </row>
        <row r="29">
          <cell r="B29">
            <v>2734.8</v>
          </cell>
        </row>
        <row r="30">
          <cell r="B30">
            <v>1126</v>
          </cell>
        </row>
        <row r="31">
          <cell r="B31">
            <v>900</v>
          </cell>
        </row>
        <row r="32">
          <cell r="B32">
            <v>200</v>
          </cell>
        </row>
        <row r="33">
          <cell r="B33">
            <v>9169.87</v>
          </cell>
        </row>
        <row r="34">
          <cell r="B34">
            <v>400.2</v>
          </cell>
        </row>
        <row r="35">
          <cell r="B35">
            <v>36569.78</v>
          </cell>
        </row>
        <row r="36">
          <cell r="B36">
            <v>3209.1</v>
          </cell>
        </row>
        <row r="37">
          <cell r="B37">
            <v>-1430.36</v>
          </cell>
        </row>
        <row r="38">
          <cell r="B38">
            <v>-124.37</v>
          </cell>
        </row>
        <row r="39">
          <cell r="B39">
            <v>1.3</v>
          </cell>
        </row>
        <row r="40">
          <cell r="B40">
            <v>-15.6</v>
          </cell>
        </row>
        <row r="41">
          <cell r="B41">
            <v>22054.15</v>
          </cell>
        </row>
        <row r="42">
          <cell r="B42">
            <v>280.5</v>
          </cell>
        </row>
        <row r="43">
          <cell r="B43">
            <v>478.18</v>
          </cell>
        </row>
        <row r="44">
          <cell r="B44">
            <v>284.8</v>
          </cell>
        </row>
        <row r="45">
          <cell r="B45">
            <v>808.51</v>
          </cell>
        </row>
        <row r="50">
          <cell r="B50">
            <v>3850</v>
          </cell>
        </row>
        <row r="51">
          <cell r="B51">
            <v>49</v>
          </cell>
        </row>
        <row r="52">
          <cell r="B52">
            <v>309</v>
          </cell>
        </row>
        <row r="53">
          <cell r="B53">
            <v>851</v>
          </cell>
        </row>
        <row r="54">
          <cell r="B54">
            <v>803.25</v>
          </cell>
        </row>
        <row r="55">
          <cell r="B55">
            <v>599</v>
          </cell>
        </row>
        <row r="56">
          <cell r="B56">
            <v>1000</v>
          </cell>
        </row>
        <row r="57">
          <cell r="B57">
            <v>2700</v>
          </cell>
        </row>
        <row r="58">
          <cell r="B58">
            <v>2500</v>
          </cell>
        </row>
        <row r="59">
          <cell r="B59">
            <v>246.56</v>
          </cell>
        </row>
        <row r="60">
          <cell r="B60">
            <v>6.45</v>
          </cell>
        </row>
        <row r="61">
          <cell r="B61">
            <v>4787.68</v>
          </cell>
        </row>
        <row r="62">
          <cell r="B62">
            <v>5920</v>
          </cell>
        </row>
        <row r="63">
          <cell r="B63">
            <v>415.48</v>
          </cell>
        </row>
        <row r="64">
          <cell r="B64">
            <v>845.52</v>
          </cell>
        </row>
        <row r="65">
          <cell r="B65">
            <v>77.68</v>
          </cell>
        </row>
        <row r="66">
          <cell r="B66">
            <v>287.91</v>
          </cell>
        </row>
        <row r="67">
          <cell r="B67">
            <v>1065.56</v>
          </cell>
        </row>
        <row r="68">
          <cell r="B68">
            <v>1124</v>
          </cell>
        </row>
        <row r="69">
          <cell r="B69">
            <v>5864</v>
          </cell>
        </row>
        <row r="70">
          <cell r="B70">
            <v>102</v>
          </cell>
        </row>
        <row r="71">
          <cell r="B71">
            <v>623.02</v>
          </cell>
        </row>
        <row r="72">
          <cell r="B72">
            <v>508.43</v>
          </cell>
        </row>
        <row r="73">
          <cell r="B73">
            <v>509.16</v>
          </cell>
        </row>
        <row r="74">
          <cell r="B74">
            <v>540.33</v>
          </cell>
        </row>
        <row r="75">
          <cell r="B75">
            <v>1508.74</v>
          </cell>
        </row>
        <row r="76">
          <cell r="B76">
            <v>2734.8</v>
          </cell>
        </row>
        <row r="77">
          <cell r="B77">
            <v>137.5</v>
          </cell>
        </row>
        <row r="78">
          <cell r="B78">
            <v>1717.5</v>
          </cell>
        </row>
        <row r="79">
          <cell r="B79">
            <v>10057.22</v>
          </cell>
        </row>
        <row r="80">
          <cell r="B80">
            <v>731.39</v>
          </cell>
        </row>
        <row r="81">
          <cell r="B81">
            <v>882.91</v>
          </cell>
        </row>
        <row r="82">
          <cell r="B82">
            <v>971.29</v>
          </cell>
        </row>
        <row r="83">
          <cell r="B83">
            <v>958.12</v>
          </cell>
        </row>
        <row r="84">
          <cell r="B84">
            <v>1887.5</v>
          </cell>
        </row>
        <row r="85">
          <cell r="B85">
            <v>8116.28</v>
          </cell>
        </row>
        <row r="86">
          <cell r="B86">
            <v>100</v>
          </cell>
        </row>
        <row r="88">
          <cell r="B88">
            <v>52.5</v>
          </cell>
        </row>
        <row r="89">
          <cell r="B89">
            <v>1220.22</v>
          </cell>
        </row>
        <row r="90">
          <cell r="B90">
            <v>46919.07</v>
          </cell>
        </row>
        <row r="91">
          <cell r="B91">
            <v>7767.77</v>
          </cell>
        </row>
        <row r="92">
          <cell r="B92">
            <v>1472.31</v>
          </cell>
        </row>
        <row r="93">
          <cell r="B93">
            <v>2926</v>
          </cell>
        </row>
        <row r="94">
          <cell r="B94">
            <v>1923</v>
          </cell>
        </row>
        <row r="95">
          <cell r="B95">
            <v>3248</v>
          </cell>
        </row>
        <row r="96">
          <cell r="B96">
            <v>13375</v>
          </cell>
        </row>
        <row r="97">
          <cell r="B97">
            <v>984.4</v>
          </cell>
        </row>
        <row r="99">
          <cell r="B99">
            <v>37253.77</v>
          </cell>
        </row>
        <row r="101">
          <cell r="B101">
            <v>16038.09</v>
          </cell>
        </row>
        <row r="103">
          <cell r="B103">
            <v>320.02</v>
          </cell>
        </row>
        <row r="104">
          <cell r="B104">
            <v>411.5</v>
          </cell>
        </row>
        <row r="106">
          <cell r="B106">
            <v>123.94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="89" zoomScaleNormal="89" zoomScalePageLayoutView="0" workbookViewId="0" topLeftCell="A1">
      <selection activeCell="B190" sqref="B190"/>
    </sheetView>
  </sheetViews>
  <sheetFormatPr defaultColWidth="9.140625" defaultRowHeight="12.75"/>
  <cols>
    <col min="1" max="1" width="11.7109375" style="171" customWidth="1"/>
    <col min="2" max="2" width="9.28125" style="181" customWidth="1"/>
    <col min="3" max="3" width="43.8515625" style="171" customWidth="1"/>
    <col min="4" max="4" width="19.140625" style="201" customWidth="1"/>
    <col min="5" max="5" width="11.28125" style="189" customWidth="1"/>
    <col min="6" max="6" width="17.421875" style="189" customWidth="1"/>
    <col min="7" max="7" width="9.140625" style="171" customWidth="1"/>
    <col min="8" max="8" width="24.8515625" style="171" customWidth="1"/>
    <col min="9" max="16384" width="9.140625" style="171" customWidth="1"/>
  </cols>
  <sheetData>
    <row r="2" spans="1:6" ht="12.75">
      <c r="A2" s="167"/>
      <c r="B2" s="168"/>
      <c r="C2" s="167"/>
      <c r="D2" s="169"/>
      <c r="E2" s="170"/>
      <c r="F2" s="170"/>
    </row>
    <row r="3" spans="1:6" s="178" customFormat="1" ht="15">
      <c r="A3" s="172"/>
      <c r="B3" s="173"/>
      <c r="C3" s="174" t="s">
        <v>0</v>
      </c>
      <c r="D3" s="175"/>
      <c r="E3" s="176"/>
      <c r="F3" s="177"/>
    </row>
    <row r="4" spans="1:6" s="178" customFormat="1" ht="15">
      <c r="A4" s="172"/>
      <c r="B4" s="179"/>
      <c r="C4" s="174" t="s">
        <v>1</v>
      </c>
      <c r="D4" s="180"/>
      <c r="E4" s="176"/>
      <c r="F4" s="177"/>
    </row>
    <row r="5" spans="1:6" s="178" customFormat="1" ht="15">
      <c r="A5" s="172"/>
      <c r="B5" s="179"/>
      <c r="C5" s="174" t="s">
        <v>508</v>
      </c>
      <c r="D5" s="180"/>
      <c r="E5" s="176"/>
      <c r="F5" s="177"/>
    </row>
    <row r="7" spans="4:6" ht="12.75">
      <c r="D7" s="182"/>
      <c r="E7" s="183" t="s">
        <v>430</v>
      </c>
      <c r="F7" s="184"/>
    </row>
    <row r="8" spans="1:6" ht="12.75">
      <c r="A8" s="185" t="s">
        <v>2</v>
      </c>
      <c r="D8" s="236" t="s">
        <v>509</v>
      </c>
      <c r="E8" s="187" t="s">
        <v>3</v>
      </c>
      <c r="F8" s="187" t="s">
        <v>4</v>
      </c>
    </row>
    <row r="9" spans="2:6" ht="12.75">
      <c r="B9" s="181">
        <v>130</v>
      </c>
      <c r="C9" s="171" t="s">
        <v>5</v>
      </c>
      <c r="D9" s="188">
        <v>0</v>
      </c>
      <c r="E9" s="189">
        <v>13881</v>
      </c>
      <c r="F9" s="189">
        <f aca="true" t="shared" si="0" ref="F9:F55">D9-E9</f>
        <v>-13881</v>
      </c>
    </row>
    <row r="10" spans="2:6" ht="12.75">
      <c r="B10" s="181">
        <v>130</v>
      </c>
      <c r="C10" s="171" t="s">
        <v>6</v>
      </c>
      <c r="D10" s="188">
        <v>8760.2</v>
      </c>
      <c r="E10" s="189">
        <v>8760</v>
      </c>
      <c r="F10" s="189">
        <f t="shared" si="0"/>
        <v>0.2000000000007276</v>
      </c>
    </row>
    <row r="11" spans="1:6" ht="13.5">
      <c r="A11" s="190"/>
      <c r="B11" s="181">
        <v>300.2</v>
      </c>
      <c r="C11" s="171" t="s">
        <v>7</v>
      </c>
      <c r="D11" s="188">
        <v>0</v>
      </c>
      <c r="E11" s="189">
        <v>0</v>
      </c>
      <c r="F11" s="189">
        <f t="shared" si="0"/>
        <v>0</v>
      </c>
    </row>
    <row r="12" spans="1:8" ht="12.75">
      <c r="A12" s="191" t="s">
        <v>510</v>
      </c>
      <c r="B12" s="181">
        <v>301.1</v>
      </c>
      <c r="C12" s="171" t="s">
        <v>8</v>
      </c>
      <c r="D12" s="188">
        <f>Sheet2!B7</f>
        <v>101790.79</v>
      </c>
      <c r="E12" s="189">
        <v>115514.7885818182</v>
      </c>
      <c r="F12" s="189">
        <f t="shared" si="0"/>
        <v>-13723.998581818203</v>
      </c>
      <c r="G12" s="192"/>
      <c r="H12" s="189"/>
    </row>
    <row r="13" spans="1:6" ht="12.75">
      <c r="A13" s="191"/>
      <c r="C13" s="171" t="s">
        <v>9</v>
      </c>
      <c r="D13" s="193">
        <f>Sheet2!B8</f>
        <v>-1876.86</v>
      </c>
      <c r="E13" s="189">
        <v>0</v>
      </c>
      <c r="F13" s="189">
        <f t="shared" si="0"/>
        <v>-1876.86</v>
      </c>
    </row>
    <row r="14" spans="1:8" ht="12.75">
      <c r="A14" s="191"/>
      <c r="B14" s="181">
        <v>301.901</v>
      </c>
      <c r="C14" s="171" t="s">
        <v>10</v>
      </c>
      <c r="D14" s="193">
        <f>Sheet2!B21</f>
        <v>280.68</v>
      </c>
      <c r="E14" s="189">
        <v>0</v>
      </c>
      <c r="F14" s="189">
        <f t="shared" si="0"/>
        <v>280.68</v>
      </c>
      <c r="H14" s="194"/>
    </row>
    <row r="15" spans="1:6" ht="12.75">
      <c r="A15" s="191"/>
      <c r="B15" s="181">
        <v>301.102</v>
      </c>
      <c r="C15" s="171" t="s">
        <v>11</v>
      </c>
      <c r="D15" s="193">
        <f>Sheet2!B9</f>
        <v>2116.4</v>
      </c>
      <c r="E15" s="189">
        <v>0</v>
      </c>
      <c r="F15" s="189">
        <f t="shared" si="0"/>
        <v>2116.4</v>
      </c>
    </row>
    <row r="16" spans="1:6" ht="12.75">
      <c r="A16" s="191" t="s">
        <v>511</v>
      </c>
      <c r="B16" s="181">
        <v>301.11</v>
      </c>
      <c r="C16" s="171" t="s">
        <v>12</v>
      </c>
      <c r="D16" s="193">
        <f>Sheet2!B37</f>
        <v>11310.1</v>
      </c>
      <c r="E16" s="189">
        <v>9059.983418181819</v>
      </c>
      <c r="F16" s="189">
        <f t="shared" si="0"/>
        <v>2250.1165818181817</v>
      </c>
    </row>
    <row r="17" spans="1:6" ht="12.75">
      <c r="A17" s="191"/>
      <c r="C17" s="171" t="s">
        <v>13</v>
      </c>
      <c r="D17" s="193">
        <f>Sheet2!B40</f>
        <v>-208.55</v>
      </c>
      <c r="E17" s="189">
        <v>0</v>
      </c>
      <c r="F17" s="189">
        <f t="shared" si="0"/>
        <v>-208.55</v>
      </c>
    </row>
    <row r="18" spans="1:6" ht="12.75">
      <c r="A18" s="191"/>
      <c r="B18" s="181">
        <v>301.112</v>
      </c>
      <c r="C18" s="171" t="s">
        <v>14</v>
      </c>
      <c r="D18" s="193">
        <f>Sheet2!B38</f>
        <v>235.16</v>
      </c>
      <c r="E18" s="189">
        <v>0</v>
      </c>
      <c r="F18" s="189">
        <f t="shared" si="0"/>
        <v>235.16</v>
      </c>
    </row>
    <row r="19" spans="1:6" ht="12.75">
      <c r="A19" s="191"/>
      <c r="B19" s="181">
        <v>301.902</v>
      </c>
      <c r="C19" s="171" t="s">
        <v>15</v>
      </c>
      <c r="D19" s="193">
        <f>Sheet2!B22</f>
        <v>5.06</v>
      </c>
      <c r="E19" s="189">
        <v>0</v>
      </c>
      <c r="F19" s="189">
        <f t="shared" si="0"/>
        <v>5.06</v>
      </c>
    </row>
    <row r="20" spans="1:6" ht="12.75">
      <c r="A20" s="178"/>
      <c r="B20" s="181">
        <v>301.4</v>
      </c>
      <c r="C20" s="171" t="s">
        <v>16</v>
      </c>
      <c r="D20" s="193">
        <f>Sheet2!B10</f>
        <v>12982.47</v>
      </c>
      <c r="E20" s="189">
        <v>7500</v>
      </c>
      <c r="F20" s="189">
        <f t="shared" si="0"/>
        <v>5482.469999999999</v>
      </c>
    </row>
    <row r="21" spans="1:6" ht="12.75">
      <c r="A21" s="178"/>
      <c r="C21" s="171" t="s">
        <v>17</v>
      </c>
      <c r="D21" s="193">
        <f>Sheet2!B39</f>
        <v>1442.51</v>
      </c>
      <c r="E21" s="189">
        <v>500</v>
      </c>
      <c r="F21" s="189">
        <f t="shared" si="0"/>
        <v>942.51</v>
      </c>
    </row>
    <row r="22" spans="1:6" ht="12.75">
      <c r="A22" s="191" t="s">
        <v>18</v>
      </c>
      <c r="B22" s="181">
        <v>305.1</v>
      </c>
      <c r="C22" s="171" t="s">
        <v>19</v>
      </c>
      <c r="D22" s="193">
        <f>Sheet2!B11</f>
        <v>565</v>
      </c>
      <c r="E22" s="189">
        <v>600</v>
      </c>
      <c r="F22" s="189">
        <f t="shared" si="0"/>
        <v>-35</v>
      </c>
    </row>
    <row r="23" spans="1:6" ht="12.75">
      <c r="A23" s="191"/>
      <c r="C23" s="171" t="s">
        <v>20</v>
      </c>
      <c r="D23" s="193">
        <v>-10</v>
      </c>
      <c r="E23" s="189">
        <v>0</v>
      </c>
      <c r="F23" s="189">
        <f t="shared" si="0"/>
        <v>-10</v>
      </c>
    </row>
    <row r="24" spans="1:6" ht="13.5">
      <c r="A24" s="190"/>
      <c r="B24" s="181">
        <v>305.2</v>
      </c>
      <c r="C24" s="171" t="s">
        <v>21</v>
      </c>
      <c r="D24" s="193">
        <v>0</v>
      </c>
      <c r="E24" s="189">
        <v>0</v>
      </c>
      <c r="F24" s="189">
        <f t="shared" si="0"/>
        <v>0</v>
      </c>
    </row>
    <row r="25" spans="1:6" ht="13.5">
      <c r="A25" s="190"/>
      <c r="C25" s="171" t="s">
        <v>22</v>
      </c>
      <c r="D25" s="193">
        <v>0</v>
      </c>
      <c r="E25" s="189">
        <v>0</v>
      </c>
      <c r="F25" s="189">
        <f t="shared" si="0"/>
        <v>0</v>
      </c>
    </row>
    <row r="26" spans="1:6" ht="13.5">
      <c r="A26" s="190"/>
      <c r="C26" s="171" t="s">
        <v>23</v>
      </c>
      <c r="D26" s="193">
        <f>Sheet2!B20</f>
        <v>429</v>
      </c>
      <c r="F26" s="189">
        <f t="shared" si="0"/>
        <v>429</v>
      </c>
    </row>
    <row r="27" spans="2:6" ht="12.75">
      <c r="B27" s="181">
        <v>310.01</v>
      </c>
      <c r="C27" s="171" t="s">
        <v>24</v>
      </c>
      <c r="D27" s="188">
        <v>920</v>
      </c>
      <c r="E27" s="189">
        <v>1000</v>
      </c>
      <c r="F27" s="189">
        <f t="shared" si="0"/>
        <v>-80</v>
      </c>
    </row>
    <row r="28" spans="3:6" ht="12.75">
      <c r="C28" s="171" t="s">
        <v>25</v>
      </c>
      <c r="D28" s="193">
        <f>Sheet2!B16</f>
        <v>-16.2</v>
      </c>
      <c r="E28" s="189">
        <v>0</v>
      </c>
      <c r="F28" s="189">
        <f t="shared" si="0"/>
        <v>-16.2</v>
      </c>
    </row>
    <row r="29" spans="3:6" ht="12.75">
      <c r="C29" s="171" t="s">
        <v>26</v>
      </c>
      <c r="D29" s="193">
        <f>Sheet2!B23</f>
        <v>1.5</v>
      </c>
      <c r="F29" s="189">
        <f t="shared" si="0"/>
        <v>1.5</v>
      </c>
    </row>
    <row r="30" spans="2:6" ht="12.75">
      <c r="B30" s="181">
        <v>310.02</v>
      </c>
      <c r="C30" s="171" t="s">
        <v>27</v>
      </c>
      <c r="D30" s="188">
        <v>6</v>
      </c>
      <c r="E30" s="189">
        <v>0</v>
      </c>
      <c r="F30" s="189">
        <f t="shared" si="0"/>
        <v>6</v>
      </c>
    </row>
    <row r="31" spans="2:6" ht="12.75">
      <c r="B31" s="181">
        <v>310.2</v>
      </c>
      <c r="C31" s="171" t="s">
        <v>28</v>
      </c>
      <c r="D31" s="188">
        <f>Sheet2!B15</f>
        <v>364.24</v>
      </c>
      <c r="E31" s="189">
        <v>100</v>
      </c>
      <c r="F31" s="189">
        <f t="shared" si="0"/>
        <v>264.24</v>
      </c>
    </row>
    <row r="32" spans="2:6" ht="12.75">
      <c r="B32" s="181">
        <v>310.1</v>
      </c>
      <c r="C32" s="171" t="s">
        <v>29</v>
      </c>
      <c r="D32" s="188">
        <f>Sheet2!B17</f>
        <v>2085.65</v>
      </c>
      <c r="E32" s="189">
        <v>1000</v>
      </c>
      <c r="F32" s="189">
        <f t="shared" si="0"/>
        <v>1085.65</v>
      </c>
    </row>
    <row r="33" spans="2:6" ht="12.75">
      <c r="B33" s="181">
        <v>310.21</v>
      </c>
      <c r="C33" s="171" t="s">
        <v>30</v>
      </c>
      <c r="D33" s="188">
        <f>Sheet2!B18</f>
        <v>30429.06</v>
      </c>
      <c r="E33" s="189">
        <v>30000</v>
      </c>
      <c r="F33" s="189">
        <f t="shared" si="0"/>
        <v>429.0600000000013</v>
      </c>
    </row>
    <row r="34" spans="2:6" ht="12.75">
      <c r="B34" s="181">
        <v>310.4</v>
      </c>
      <c r="C34" s="171" t="s">
        <v>31</v>
      </c>
      <c r="D34" s="188">
        <f>Sheet2!B19</f>
        <v>1578.8</v>
      </c>
      <c r="E34" s="189">
        <v>1000</v>
      </c>
      <c r="F34" s="189">
        <f t="shared" si="0"/>
        <v>578.8</v>
      </c>
    </row>
    <row r="35" spans="2:6" ht="12.75">
      <c r="B35" s="181">
        <v>320.01</v>
      </c>
      <c r="C35" s="171" t="s">
        <v>32</v>
      </c>
      <c r="D35" s="188">
        <v>0</v>
      </c>
      <c r="E35" s="189">
        <v>0</v>
      </c>
      <c r="F35" s="189">
        <f t="shared" si="0"/>
        <v>0</v>
      </c>
    </row>
    <row r="36" spans="2:6" ht="12.75">
      <c r="B36" s="181">
        <v>330.01</v>
      </c>
      <c r="C36" s="171" t="s">
        <v>33</v>
      </c>
      <c r="D36" s="188">
        <f>Sheet2!B24</f>
        <v>608.02</v>
      </c>
      <c r="E36" s="189">
        <v>0</v>
      </c>
      <c r="F36" s="189">
        <f t="shared" si="0"/>
        <v>608.02</v>
      </c>
    </row>
    <row r="37" spans="2:6" ht="12.75">
      <c r="B37" s="181">
        <v>331.13</v>
      </c>
      <c r="C37" s="171" t="s">
        <v>34</v>
      </c>
      <c r="D37" s="188">
        <f>Sheet2!B25</f>
        <v>415.79</v>
      </c>
      <c r="E37" s="189">
        <v>200</v>
      </c>
      <c r="F37" s="189">
        <f t="shared" si="0"/>
        <v>215.79000000000002</v>
      </c>
    </row>
    <row r="38" spans="2:6" ht="12.75" hidden="1">
      <c r="B38" s="181">
        <v>330.3</v>
      </c>
      <c r="C38" s="171" t="s">
        <v>35</v>
      </c>
      <c r="D38" s="188"/>
      <c r="E38" s="189">
        <v>0</v>
      </c>
      <c r="F38" s="189">
        <f t="shared" si="0"/>
        <v>0</v>
      </c>
    </row>
    <row r="39" spans="2:6" ht="12.75">
      <c r="B39" s="181">
        <v>341</v>
      </c>
      <c r="C39" s="171" t="s">
        <v>36</v>
      </c>
      <c r="D39" s="188">
        <f>Sheet2!B26+Sheet2!B27</f>
        <v>787.97</v>
      </c>
      <c r="E39" s="189">
        <v>30</v>
      </c>
      <c r="F39" s="189">
        <f t="shared" si="0"/>
        <v>757.97</v>
      </c>
    </row>
    <row r="40" spans="2:6" ht="12.75">
      <c r="B40" s="181">
        <v>340.02</v>
      </c>
      <c r="C40" s="171" t="s">
        <v>37</v>
      </c>
      <c r="D40" s="188">
        <v>12</v>
      </c>
      <c r="E40" s="189">
        <v>12</v>
      </c>
      <c r="F40" s="189">
        <f t="shared" si="0"/>
        <v>0</v>
      </c>
    </row>
    <row r="41" spans="2:6" ht="12.75">
      <c r="B41" s="181">
        <v>350.01</v>
      </c>
      <c r="C41" s="171" t="s">
        <v>38</v>
      </c>
      <c r="D41" s="188">
        <v>0</v>
      </c>
      <c r="E41" s="189">
        <v>200</v>
      </c>
      <c r="F41" s="189">
        <f t="shared" si="0"/>
        <v>-200</v>
      </c>
    </row>
    <row r="42" spans="2:6" ht="12.75">
      <c r="B42" s="181">
        <v>355.07</v>
      </c>
      <c r="C42" s="171" t="s">
        <v>39</v>
      </c>
      <c r="D42" s="188">
        <v>2519</v>
      </c>
      <c r="E42" s="189">
        <v>2735</v>
      </c>
      <c r="F42" s="189">
        <f t="shared" si="0"/>
        <v>-216</v>
      </c>
    </row>
    <row r="43" spans="2:6" ht="12.75">
      <c r="B43" s="181">
        <v>355.08</v>
      </c>
      <c r="C43" s="171" t="s">
        <v>40</v>
      </c>
      <c r="D43" s="188">
        <v>150</v>
      </c>
      <c r="E43" s="189">
        <v>150</v>
      </c>
      <c r="F43" s="189">
        <f t="shared" si="0"/>
        <v>0</v>
      </c>
    </row>
    <row r="44" spans="2:6" ht="12.75">
      <c r="B44" s="181">
        <v>360.1</v>
      </c>
      <c r="C44" s="171" t="s">
        <v>41</v>
      </c>
      <c r="D44" s="188">
        <f>Sheet2!B41</f>
        <v>36035.79</v>
      </c>
      <c r="E44" s="189">
        <v>45000</v>
      </c>
      <c r="F44" s="189">
        <f t="shared" si="0"/>
        <v>-8964.21</v>
      </c>
    </row>
    <row r="45" spans="2:6" ht="12.75">
      <c r="B45" s="181">
        <v>306.02</v>
      </c>
      <c r="C45" s="171" t="s">
        <v>42</v>
      </c>
      <c r="D45" s="188">
        <f>Sheet2!B42</f>
        <v>6798.82</v>
      </c>
      <c r="E45" s="189">
        <v>1000</v>
      </c>
      <c r="F45" s="189">
        <f t="shared" si="0"/>
        <v>5798.82</v>
      </c>
    </row>
    <row r="46" spans="2:6" ht="12.75">
      <c r="B46" s="181">
        <v>361.3</v>
      </c>
      <c r="C46" s="171" t="s">
        <v>43</v>
      </c>
      <c r="D46" s="188">
        <v>20</v>
      </c>
      <c r="E46" s="189">
        <v>250</v>
      </c>
      <c r="F46" s="189">
        <f t="shared" si="0"/>
        <v>-230</v>
      </c>
    </row>
    <row r="47" spans="3:6" ht="12.75">
      <c r="C47" s="171" t="s">
        <v>45</v>
      </c>
      <c r="D47" s="188">
        <v>0</v>
      </c>
      <c r="E47" s="189">
        <v>250</v>
      </c>
      <c r="F47" s="189">
        <f t="shared" si="0"/>
        <v>-250</v>
      </c>
    </row>
    <row r="48" spans="2:6" ht="12.75">
      <c r="B48" s="181">
        <v>361.33</v>
      </c>
      <c r="C48" s="171" t="s">
        <v>46</v>
      </c>
      <c r="D48" s="188"/>
      <c r="E48" s="189">
        <v>250</v>
      </c>
      <c r="F48" s="189">
        <f t="shared" si="0"/>
        <v>-250</v>
      </c>
    </row>
    <row r="49" spans="2:6" ht="12.75">
      <c r="B49" s="181">
        <v>370</v>
      </c>
      <c r="C49" s="171" t="s">
        <v>47</v>
      </c>
      <c r="D49" s="188">
        <v>800</v>
      </c>
      <c r="E49" s="189">
        <v>0</v>
      </c>
      <c r="F49" s="189">
        <f t="shared" si="0"/>
        <v>800</v>
      </c>
    </row>
    <row r="50" spans="2:6" ht="12.75">
      <c r="B50" s="181">
        <v>380</v>
      </c>
      <c r="C50" s="171" t="s">
        <v>48</v>
      </c>
      <c r="D50" s="188">
        <f>Sheet2!B36+Sheet2!B44</f>
        <v>277.86</v>
      </c>
      <c r="E50" s="189">
        <v>150</v>
      </c>
      <c r="F50" s="189">
        <f t="shared" si="0"/>
        <v>127.86000000000001</v>
      </c>
    </row>
    <row r="51" spans="2:6" ht="12.75">
      <c r="B51" s="245" t="s">
        <v>506</v>
      </c>
      <c r="C51" s="171" t="s">
        <v>507</v>
      </c>
      <c r="D51" s="188">
        <v>0</v>
      </c>
      <c r="E51" s="189">
        <v>0</v>
      </c>
      <c r="F51" s="189">
        <f t="shared" si="0"/>
        <v>0</v>
      </c>
    </row>
    <row r="52" spans="2:6" ht="12.75">
      <c r="B52" s="181">
        <v>387</v>
      </c>
      <c r="C52" s="171" t="s">
        <v>49</v>
      </c>
      <c r="D52" s="188">
        <v>200</v>
      </c>
      <c r="E52" s="189">
        <v>100</v>
      </c>
      <c r="F52" s="189">
        <f t="shared" si="0"/>
        <v>100</v>
      </c>
    </row>
    <row r="53" spans="2:6" ht="12.75">
      <c r="B53" s="181">
        <v>355.041</v>
      </c>
      <c r="C53" s="171" t="s">
        <v>50</v>
      </c>
      <c r="D53" s="188">
        <f>Sheet2!B28</f>
        <v>261.48</v>
      </c>
      <c r="E53" s="189">
        <v>25</v>
      </c>
      <c r="F53" s="189">
        <f t="shared" si="0"/>
        <v>236.48000000000002</v>
      </c>
    </row>
    <row r="54" spans="2:6" ht="12.75">
      <c r="B54" s="181">
        <v>355</v>
      </c>
      <c r="C54" s="171" t="s">
        <v>51</v>
      </c>
      <c r="D54" s="188">
        <f>Sheet2!B43</f>
        <v>23071.62</v>
      </c>
      <c r="E54" s="189">
        <v>22594.16</v>
      </c>
      <c r="F54" s="189">
        <f t="shared" si="0"/>
        <v>477.4599999999991</v>
      </c>
    </row>
    <row r="55" spans="3:6" ht="12.75">
      <c r="C55" s="171" t="s">
        <v>52</v>
      </c>
      <c r="D55" s="188">
        <f>Sheet2!B45</f>
        <v>137.64</v>
      </c>
      <c r="E55" s="195">
        <v>0</v>
      </c>
      <c r="F55" s="189">
        <f t="shared" si="0"/>
        <v>137.64</v>
      </c>
    </row>
    <row r="56" spans="3:10" ht="12.75">
      <c r="C56" s="178" t="s">
        <v>53</v>
      </c>
      <c r="D56" s="196">
        <f>SUM(D9:D55)</f>
        <v>245286.99999999997</v>
      </c>
      <c r="E56" s="196">
        <f>SUM(E9:E55)</f>
        <v>261861.93200000003</v>
      </c>
      <c r="F56" s="196">
        <f>SUM(F9:F55)</f>
        <v>-16574.93200000002</v>
      </c>
      <c r="H56" s="189"/>
      <c r="I56" s="192"/>
      <c r="J56" s="189"/>
    </row>
    <row r="57" spans="3:10" ht="12.75">
      <c r="C57" s="178"/>
      <c r="D57" s="197"/>
      <c r="E57" s="198"/>
      <c r="F57" s="198"/>
      <c r="H57" s="189"/>
      <c r="I57" s="192"/>
      <c r="J57" s="189"/>
    </row>
    <row r="58" spans="3:10" ht="14.25" customHeight="1">
      <c r="C58" s="178"/>
      <c r="D58" s="197"/>
      <c r="E58" s="198"/>
      <c r="F58" s="198"/>
      <c r="H58" s="189"/>
      <c r="I58" s="192"/>
      <c r="J58" s="189"/>
    </row>
    <row r="59" spans="2:8" ht="12.75">
      <c r="B59" s="171"/>
      <c r="D59" s="199"/>
      <c r="E59" s="200"/>
      <c r="F59" s="171"/>
      <c r="G59" s="189"/>
      <c r="H59" s="189"/>
    </row>
    <row r="60" spans="2:6" ht="12.75">
      <c r="B60" s="171"/>
      <c r="D60" s="182"/>
      <c r="E60" s="184" t="str">
        <f>E7</f>
        <v>2017</v>
      </c>
      <c r="F60" s="184"/>
    </row>
    <row r="61" spans="2:6" ht="12.75">
      <c r="B61" s="171"/>
      <c r="D61" s="186" t="str">
        <f>D8</f>
        <v>October</v>
      </c>
      <c r="E61" s="187" t="s">
        <v>3</v>
      </c>
      <c r="F61" s="187" t="s">
        <v>4</v>
      </c>
    </row>
    <row r="62" ht="12.75">
      <c r="A62" s="185" t="s">
        <v>54</v>
      </c>
    </row>
    <row r="63" spans="1:6" ht="12.75">
      <c r="A63" s="171">
        <v>400</v>
      </c>
      <c r="B63" s="202" t="s">
        <v>55</v>
      </c>
      <c r="D63" s="199"/>
      <c r="F63" s="203"/>
    </row>
    <row r="64" spans="3:6" ht="12.75">
      <c r="C64" s="171" t="s">
        <v>57</v>
      </c>
      <c r="D64" s="199">
        <f>Sheet2!B49</f>
        <v>3725</v>
      </c>
      <c r="E64" s="189">
        <v>4800</v>
      </c>
      <c r="F64" s="189">
        <f>D64-E64</f>
        <v>-1075</v>
      </c>
    </row>
    <row r="65" spans="3:6" ht="12.75">
      <c r="C65" s="171" t="s">
        <v>58</v>
      </c>
      <c r="D65" s="199">
        <f>Sheet2!B51</f>
        <v>505</v>
      </c>
      <c r="E65" s="189">
        <v>300</v>
      </c>
      <c r="F65" s="189">
        <f>D65-E65</f>
        <v>205</v>
      </c>
    </row>
    <row r="66" spans="3:6" ht="12.75">
      <c r="C66" s="171" t="s">
        <v>59</v>
      </c>
      <c r="D66" s="199">
        <v>0</v>
      </c>
      <c r="E66" s="189">
        <v>500</v>
      </c>
      <c r="F66" s="189">
        <f>D66-E66</f>
        <v>-500</v>
      </c>
    </row>
    <row r="67" spans="3:6" ht="12.75">
      <c r="C67" s="171" t="s">
        <v>60</v>
      </c>
      <c r="D67" s="199"/>
      <c r="E67" s="189">
        <v>750</v>
      </c>
      <c r="F67" s="189">
        <f>D67-E67</f>
        <v>-750</v>
      </c>
    </row>
    <row r="68" spans="1:4" ht="12.75">
      <c r="A68" s="171">
        <v>401</v>
      </c>
      <c r="B68" s="202" t="s">
        <v>61</v>
      </c>
      <c r="D68" s="199"/>
    </row>
    <row r="69" spans="3:6" ht="12.75">
      <c r="C69" s="171" t="s">
        <v>62</v>
      </c>
      <c r="D69" s="199">
        <f>Sheet2!B55</f>
        <v>1100</v>
      </c>
      <c r="E69" s="189">
        <v>1200</v>
      </c>
      <c r="F69" s="189">
        <f>D69-E69</f>
        <v>-100</v>
      </c>
    </row>
    <row r="70" spans="3:6" ht="12.75">
      <c r="C70" s="171" t="s">
        <v>63</v>
      </c>
      <c r="D70" s="199">
        <f>Sheet2!B56</f>
        <v>50</v>
      </c>
      <c r="E70" s="189">
        <v>50</v>
      </c>
      <c r="F70" s="189">
        <f>D70-E70</f>
        <v>0</v>
      </c>
    </row>
    <row r="71" spans="1:4" ht="12.75">
      <c r="A71" s="171">
        <v>402</v>
      </c>
      <c r="B71" s="202" t="s">
        <v>64</v>
      </c>
      <c r="D71" s="199"/>
    </row>
    <row r="72" spans="3:6" ht="12.75">
      <c r="C72" s="171" t="s">
        <v>64</v>
      </c>
      <c r="D72" s="199">
        <v>0</v>
      </c>
      <c r="E72" s="189">
        <v>2700</v>
      </c>
      <c r="F72" s="189">
        <f>D72-E72</f>
        <v>-2700</v>
      </c>
    </row>
    <row r="73" spans="4:6" ht="12.75" hidden="1">
      <c r="D73" s="182"/>
      <c r="E73" s="184" t="s">
        <v>430</v>
      </c>
      <c r="F73" s="184"/>
    </row>
    <row r="74" spans="4:6" ht="12.75" hidden="1">
      <c r="D74" s="186"/>
      <c r="E74" s="187" t="s">
        <v>3</v>
      </c>
      <c r="F74" s="187" t="s">
        <v>4</v>
      </c>
    </row>
    <row r="75" spans="1:6" ht="12.75">
      <c r="A75" s="171">
        <v>403</v>
      </c>
      <c r="B75" s="202" t="s">
        <v>65</v>
      </c>
      <c r="D75" s="199"/>
      <c r="F75" s="203"/>
    </row>
    <row r="76" spans="3:6" ht="12.75">
      <c r="C76" s="171" t="s">
        <v>66</v>
      </c>
      <c r="D76" s="199">
        <f>Sheet2!B57</f>
        <v>3350</v>
      </c>
      <c r="E76" s="189">
        <v>3000</v>
      </c>
      <c r="F76" s="189">
        <f>D76-E76</f>
        <v>350</v>
      </c>
    </row>
    <row r="77" spans="3:6" ht="12.75">
      <c r="C77" s="171" t="s">
        <v>67</v>
      </c>
      <c r="D77" s="199">
        <v>0</v>
      </c>
      <c r="E77" s="189">
        <v>500</v>
      </c>
      <c r="F77" s="189">
        <f>D77-E77</f>
        <v>-500</v>
      </c>
    </row>
    <row r="78" spans="3:6" ht="12.75">
      <c r="C78" s="171" t="s">
        <v>68</v>
      </c>
      <c r="D78" s="199">
        <f>Sheet2!B58</f>
        <v>314.69</v>
      </c>
      <c r="E78" s="189">
        <v>300</v>
      </c>
      <c r="F78" s="189">
        <f>D78-E78</f>
        <v>14.689999999999998</v>
      </c>
    </row>
    <row r="79" spans="1:6" ht="12.75">
      <c r="A79" s="171">
        <v>404</v>
      </c>
      <c r="B79" s="202" t="s">
        <v>69</v>
      </c>
      <c r="D79" s="199"/>
      <c r="F79" s="203"/>
    </row>
    <row r="80" spans="3:6" ht="12.75">
      <c r="C80" s="171" t="s">
        <v>70</v>
      </c>
      <c r="D80" s="199">
        <f>Sheet2!B59</f>
        <v>5041.59</v>
      </c>
      <c r="E80" s="189">
        <v>5000</v>
      </c>
      <c r="F80" s="189">
        <f>D80-E80</f>
        <v>41.590000000000146</v>
      </c>
    </row>
    <row r="81" spans="3:6" ht="12.75">
      <c r="C81" s="171" t="s">
        <v>71</v>
      </c>
      <c r="D81" s="199">
        <v>0</v>
      </c>
      <c r="E81" s="189">
        <v>250</v>
      </c>
      <c r="F81" s="189">
        <f>D81-E81</f>
        <v>-250</v>
      </c>
    </row>
    <row r="82" spans="1:4" ht="12.75">
      <c r="A82" s="171">
        <v>405</v>
      </c>
      <c r="B82" s="202" t="s">
        <v>72</v>
      </c>
      <c r="D82" s="199"/>
    </row>
    <row r="83" spans="3:6" ht="12.75">
      <c r="C83" s="171" t="s">
        <v>73</v>
      </c>
      <c r="D83" s="199">
        <f>Sheet2!B60</f>
        <v>6512</v>
      </c>
      <c r="E83" s="189">
        <v>7100</v>
      </c>
      <c r="F83" s="189">
        <f aca="true" t="shared" si="1" ref="F83:F90">D83-E83</f>
        <v>-588</v>
      </c>
    </row>
    <row r="84" spans="3:6" ht="12.75" hidden="1">
      <c r="C84" s="171" t="s">
        <v>74</v>
      </c>
      <c r="D84" s="199"/>
      <c r="E84" s="189">
        <v>0</v>
      </c>
      <c r="F84" s="189">
        <f t="shared" si="1"/>
        <v>0</v>
      </c>
    </row>
    <row r="85" spans="3:6" ht="12.75">
      <c r="C85" s="171" t="s">
        <v>75</v>
      </c>
      <c r="D85" s="199">
        <f>Sheet2!B62</f>
        <v>847.5</v>
      </c>
      <c r="E85" s="189">
        <v>1100</v>
      </c>
      <c r="F85" s="189">
        <f t="shared" si="1"/>
        <v>-252.5</v>
      </c>
    </row>
    <row r="86" spans="3:6" ht="12.75">
      <c r="C86" s="171" t="s">
        <v>76</v>
      </c>
      <c r="D86" s="199">
        <f>Sheet2!B61</f>
        <v>621.38</v>
      </c>
      <c r="E86" s="189">
        <v>400</v>
      </c>
      <c r="F86" s="189">
        <f t="shared" si="1"/>
        <v>221.38</v>
      </c>
    </row>
    <row r="87" spans="3:6" ht="12.75">
      <c r="C87" s="171" t="s">
        <v>77</v>
      </c>
      <c r="D87" s="199">
        <v>0</v>
      </c>
      <c r="E87" s="189">
        <v>100</v>
      </c>
      <c r="F87" s="189">
        <f t="shared" si="1"/>
        <v>-100</v>
      </c>
    </row>
    <row r="88" spans="3:6" ht="12.75">
      <c r="C88" s="171" t="s">
        <v>78</v>
      </c>
      <c r="D88" s="199">
        <f>Sheet2!B63</f>
        <v>415.96</v>
      </c>
      <c r="E88" s="189">
        <v>200</v>
      </c>
      <c r="F88" s="189">
        <f t="shared" si="1"/>
        <v>215.95999999999998</v>
      </c>
    </row>
    <row r="89" spans="3:6" ht="12.75">
      <c r="C89" s="171" t="s">
        <v>79</v>
      </c>
      <c r="D89" s="199">
        <f>Sheet2!B65</f>
        <v>735.98</v>
      </c>
      <c r="E89" s="189">
        <v>1000</v>
      </c>
      <c r="F89" s="189">
        <f t="shared" si="1"/>
        <v>-264.02</v>
      </c>
    </row>
    <row r="90" spans="3:6" ht="12.75">
      <c r="C90" s="171" t="s">
        <v>80</v>
      </c>
      <c r="D90" s="199">
        <v>0</v>
      </c>
      <c r="E90" s="189">
        <v>435</v>
      </c>
      <c r="F90" s="189">
        <f t="shared" si="1"/>
        <v>-435</v>
      </c>
    </row>
    <row r="91" spans="1:4" ht="12.75">
      <c r="A91" s="171">
        <v>408</v>
      </c>
      <c r="B91" s="178" t="s">
        <v>81</v>
      </c>
      <c r="D91" s="199"/>
    </row>
    <row r="92" spans="2:6" ht="12.75">
      <c r="B92" s="171"/>
      <c r="C92" s="171" t="s">
        <v>82</v>
      </c>
      <c r="D92" s="199">
        <v>0</v>
      </c>
      <c r="E92" s="199">
        <v>2000</v>
      </c>
      <c r="F92" s="220">
        <f aca="true" t="shared" si="2" ref="F92:F98">D92-E92</f>
        <v>-2000</v>
      </c>
    </row>
    <row r="93" spans="2:6" ht="12.75">
      <c r="B93" s="171"/>
      <c r="C93" s="171" t="s">
        <v>503</v>
      </c>
      <c r="D93" s="199">
        <f>Sheet2!B69</f>
        <v>2212</v>
      </c>
      <c r="E93" s="189">
        <v>0</v>
      </c>
      <c r="F93" s="203">
        <f t="shared" si="2"/>
        <v>2212</v>
      </c>
    </row>
    <row r="94" spans="2:6" ht="12.75">
      <c r="B94" s="171"/>
      <c r="C94" s="171" t="s">
        <v>504</v>
      </c>
      <c r="D94" s="199">
        <f>Sheet2!B71</f>
        <v>3160.5</v>
      </c>
      <c r="E94" s="189">
        <v>0</v>
      </c>
      <c r="F94" s="203">
        <f t="shared" si="2"/>
        <v>3160.5</v>
      </c>
    </row>
    <row r="95" spans="2:6" ht="12.75">
      <c r="B95" s="171"/>
      <c r="C95" s="171" t="s">
        <v>505</v>
      </c>
      <c r="D95" s="199">
        <f>Sheet2!B70</f>
        <v>913.5</v>
      </c>
      <c r="E95" s="189">
        <v>0</v>
      </c>
      <c r="F95" s="203">
        <f t="shared" si="2"/>
        <v>913.5</v>
      </c>
    </row>
    <row r="96" spans="2:6" ht="12.75">
      <c r="B96" s="171"/>
      <c r="C96" s="171" t="s">
        <v>83</v>
      </c>
      <c r="D96" s="199">
        <f>Sheet2!B66</f>
        <v>1529</v>
      </c>
      <c r="E96" s="189">
        <v>4000</v>
      </c>
      <c r="F96" s="203">
        <f t="shared" si="2"/>
        <v>-2471</v>
      </c>
    </row>
    <row r="97" spans="2:6" ht="12.75">
      <c r="B97" s="171"/>
      <c r="C97" s="171" t="s">
        <v>84</v>
      </c>
      <c r="D97" s="199">
        <f>Sheet2!B67</f>
        <v>1144.5</v>
      </c>
      <c r="E97" s="189">
        <v>500</v>
      </c>
      <c r="F97" s="203">
        <f t="shared" si="2"/>
        <v>644.5</v>
      </c>
    </row>
    <row r="98" spans="2:6" ht="12.75">
      <c r="B98" s="171"/>
      <c r="C98" s="171" t="s">
        <v>85</v>
      </c>
      <c r="D98" s="199">
        <f>Sheet2!B68</f>
        <v>7720.55</v>
      </c>
      <c r="E98" s="189">
        <v>1000</v>
      </c>
      <c r="F98" s="203">
        <f t="shared" si="2"/>
        <v>6720.55</v>
      </c>
    </row>
    <row r="99" spans="1:6" ht="12.75">
      <c r="A99" s="171">
        <v>409</v>
      </c>
      <c r="B99" s="178" t="s">
        <v>86</v>
      </c>
      <c r="D99" s="199"/>
      <c r="F99" s="203"/>
    </row>
    <row r="100" spans="3:6" ht="12.75">
      <c r="C100" s="171" t="s">
        <v>87</v>
      </c>
      <c r="D100" s="199">
        <f>Sheet2!B72</f>
        <v>165.21</v>
      </c>
      <c r="E100" s="189">
        <v>756</v>
      </c>
      <c r="F100" s="203">
        <f aca="true" t="shared" si="3" ref="F100:F107">D100-E100</f>
        <v>-590.79</v>
      </c>
    </row>
    <row r="101" spans="3:6" ht="12.75">
      <c r="C101" s="171" t="s">
        <v>88</v>
      </c>
      <c r="D101" s="199">
        <f>Sheet2!B73</f>
        <v>505.5</v>
      </c>
      <c r="E101" s="189">
        <v>600</v>
      </c>
      <c r="F101" s="203">
        <f t="shared" si="3"/>
        <v>-94.5</v>
      </c>
    </row>
    <row r="102" spans="3:6" ht="12.75">
      <c r="C102" s="171" t="s">
        <v>89</v>
      </c>
      <c r="D102" s="199">
        <f>Sheet2!B74</f>
        <v>661.94</v>
      </c>
      <c r="E102" s="189">
        <v>600</v>
      </c>
      <c r="F102" s="203">
        <f t="shared" si="3"/>
        <v>61.940000000000055</v>
      </c>
    </row>
    <row r="103" spans="3:6" ht="12.75">
      <c r="C103" s="171" t="s">
        <v>90</v>
      </c>
      <c r="D103" s="199">
        <f>Sheet2!B75</f>
        <v>721.88</v>
      </c>
      <c r="E103" s="189">
        <v>1000</v>
      </c>
      <c r="F103" s="203">
        <f t="shared" si="3"/>
        <v>-278.12</v>
      </c>
    </row>
    <row r="104" spans="3:6" ht="12.75">
      <c r="C104" s="171" t="s">
        <v>91</v>
      </c>
      <c r="D104" s="199">
        <v>0</v>
      </c>
      <c r="E104" s="189">
        <v>1000</v>
      </c>
      <c r="F104" s="203">
        <f t="shared" si="3"/>
        <v>-1000</v>
      </c>
    </row>
    <row r="105" spans="3:6" ht="12.75">
      <c r="C105" s="171" t="s">
        <v>92</v>
      </c>
      <c r="D105" s="199"/>
      <c r="E105" s="189">
        <v>100</v>
      </c>
      <c r="F105" s="203">
        <f t="shared" si="3"/>
        <v>-100</v>
      </c>
    </row>
    <row r="106" spans="3:6" ht="12.75">
      <c r="C106" s="171" t="s">
        <v>93</v>
      </c>
      <c r="D106" s="199"/>
      <c r="E106" s="189">
        <v>1500</v>
      </c>
      <c r="F106" s="203">
        <f t="shared" si="3"/>
        <v>-1500</v>
      </c>
    </row>
    <row r="107" spans="3:6" ht="12.75">
      <c r="C107" s="171" t="s">
        <v>94</v>
      </c>
      <c r="D107" s="199">
        <v>49</v>
      </c>
      <c r="E107" s="189">
        <v>300</v>
      </c>
      <c r="F107" s="203">
        <f t="shared" si="3"/>
        <v>-251</v>
      </c>
    </row>
    <row r="108" spans="1:4" ht="12.75">
      <c r="A108" s="171">
        <v>411</v>
      </c>
      <c r="B108" s="202" t="s">
        <v>95</v>
      </c>
      <c r="D108" s="199"/>
    </row>
    <row r="109" spans="3:6" ht="12.75">
      <c r="C109" s="171" t="s">
        <v>96</v>
      </c>
      <c r="D109" s="199">
        <f>Sheet2!B96</f>
        <v>984.4</v>
      </c>
      <c r="E109" s="189">
        <v>1181.28</v>
      </c>
      <c r="F109" s="203">
        <f>D109-E109</f>
        <v>-196.88</v>
      </c>
    </row>
    <row r="110" spans="3:8" ht="12.75">
      <c r="C110" s="171" t="s">
        <v>97</v>
      </c>
      <c r="D110" s="199">
        <f>Sheet2!B95</f>
        <v>6902</v>
      </c>
      <c r="E110" s="189">
        <v>9204</v>
      </c>
      <c r="F110" s="203">
        <f>D110-E110</f>
        <v>-2302</v>
      </c>
      <c r="H110" s="189"/>
    </row>
    <row r="111" spans="3:8" ht="12.75">
      <c r="C111" s="204" t="s">
        <v>462</v>
      </c>
      <c r="D111" s="199"/>
      <c r="E111" s="189">
        <v>2500</v>
      </c>
      <c r="F111" s="203">
        <f>D111-E111</f>
        <v>-2500</v>
      </c>
      <c r="H111" s="189"/>
    </row>
    <row r="112" spans="3:6" ht="12.75">
      <c r="C112" s="171" t="s">
        <v>98</v>
      </c>
      <c r="D112" s="199">
        <f>Sheet1!B80-'Oct 2017'!E156</f>
        <v>6646</v>
      </c>
      <c r="E112" s="189">
        <v>6150</v>
      </c>
      <c r="F112" s="203">
        <f>D112-E112</f>
        <v>496</v>
      </c>
    </row>
    <row r="113" spans="3:6" ht="12.75">
      <c r="C113" s="171" t="s">
        <v>99</v>
      </c>
      <c r="D113" s="199">
        <f>Sheet2!B76</f>
        <v>2519.38</v>
      </c>
      <c r="E113" s="189">
        <v>2735</v>
      </c>
      <c r="F113" s="203">
        <f>D113-E113</f>
        <v>-215.6199999999999</v>
      </c>
    </row>
    <row r="114" spans="1:6" ht="12.75">
      <c r="A114" s="205" t="s">
        <v>100</v>
      </c>
      <c r="B114" s="202" t="s">
        <v>101</v>
      </c>
      <c r="D114" s="199"/>
      <c r="F114" s="203"/>
    </row>
    <row r="115" spans="3:6" ht="12.75">
      <c r="C115" s="171" t="s">
        <v>102</v>
      </c>
      <c r="D115" s="199">
        <f>Sheet2!B77</f>
        <v>3231.55</v>
      </c>
      <c r="E115" s="189">
        <v>2000</v>
      </c>
      <c r="F115" s="203">
        <f aca="true" t="shared" si="4" ref="F115:F120">D115-E115</f>
        <v>1231.5500000000002</v>
      </c>
    </row>
    <row r="116" spans="3:6" ht="12.75">
      <c r="C116" s="171" t="s">
        <v>103</v>
      </c>
      <c r="D116" s="199">
        <v>0</v>
      </c>
      <c r="E116" s="189">
        <v>250</v>
      </c>
      <c r="F116" s="203">
        <f t="shared" si="4"/>
        <v>-250</v>
      </c>
    </row>
    <row r="117" spans="3:6" ht="12.75" hidden="1">
      <c r="C117" s="171" t="s">
        <v>104</v>
      </c>
      <c r="D117" s="199"/>
      <c r="E117" s="189">
        <v>0</v>
      </c>
      <c r="F117" s="189">
        <f t="shared" si="4"/>
        <v>0</v>
      </c>
    </row>
    <row r="118" spans="3:6" ht="12.75">
      <c r="C118" s="171" t="s">
        <v>105</v>
      </c>
      <c r="D118" s="199">
        <f>Sheet2!B52</f>
        <v>2451.5</v>
      </c>
      <c r="E118" s="189">
        <v>1000</v>
      </c>
      <c r="F118" s="203">
        <f t="shared" si="4"/>
        <v>1451.5</v>
      </c>
    </row>
    <row r="119" spans="3:6" ht="12.75">
      <c r="C119" s="171" t="s">
        <v>56</v>
      </c>
      <c r="D119" s="199">
        <f>Sheet2!B53</f>
        <v>160</v>
      </c>
      <c r="E119" s="189">
        <v>2000</v>
      </c>
      <c r="F119" s="203">
        <f t="shared" si="4"/>
        <v>-1840</v>
      </c>
    </row>
    <row r="120" spans="3:6" ht="12.75">
      <c r="C120" s="171" t="s">
        <v>106</v>
      </c>
      <c r="D120" s="199">
        <f>Sheet2!B54</f>
        <v>1462.64</v>
      </c>
      <c r="E120" s="189">
        <v>0</v>
      </c>
      <c r="F120" s="203">
        <f t="shared" si="4"/>
        <v>1462.64</v>
      </c>
    </row>
    <row r="121" spans="4:6" ht="12.75">
      <c r="D121" s="199"/>
      <c r="F121" s="203"/>
    </row>
    <row r="122" spans="4:6" ht="12.75">
      <c r="D122" s="199"/>
      <c r="F122" s="203"/>
    </row>
    <row r="123" spans="4:6" ht="12.75">
      <c r="D123" s="199"/>
      <c r="F123" s="203"/>
    </row>
    <row r="124" spans="4:6" ht="12.75">
      <c r="D124" s="199"/>
      <c r="F124" s="203"/>
    </row>
    <row r="125" spans="4:6" ht="12.75">
      <c r="D125" s="199"/>
      <c r="F125" s="203"/>
    </row>
    <row r="126" spans="4:6" ht="12.75">
      <c r="D126" s="182"/>
      <c r="E126" s="184" t="str">
        <f>E73</f>
        <v>2017</v>
      </c>
      <c r="F126" s="184"/>
    </row>
    <row r="127" spans="4:6" ht="12.75">
      <c r="D127" s="186" t="str">
        <f>D8</f>
        <v>October</v>
      </c>
      <c r="E127" s="187" t="s">
        <v>3</v>
      </c>
      <c r="F127" s="187" t="s">
        <v>4</v>
      </c>
    </row>
    <row r="128" spans="1:6" ht="12.75">
      <c r="A128" s="171">
        <v>426</v>
      </c>
      <c r="B128" s="202" t="s">
        <v>107</v>
      </c>
      <c r="D128" s="199"/>
      <c r="F128" s="203"/>
    </row>
    <row r="129" spans="3:6" ht="12.75">
      <c r="C129" s="171" t="s">
        <v>108</v>
      </c>
      <c r="D129" s="199">
        <f>Sheet2!B97</f>
        <v>37245.2</v>
      </c>
      <c r="E129" s="189">
        <v>44694.24</v>
      </c>
      <c r="F129" s="203">
        <f>D129-E129</f>
        <v>-7449.040000000001</v>
      </c>
    </row>
    <row r="130" spans="3:6" ht="12.75">
      <c r="C130" s="171" t="s">
        <v>109</v>
      </c>
      <c r="D130" s="199">
        <v>0</v>
      </c>
      <c r="E130" s="189">
        <v>5000</v>
      </c>
      <c r="F130" s="203">
        <f>D130-E130</f>
        <v>-5000</v>
      </c>
    </row>
    <row r="131" spans="3:6" ht="12.75" hidden="1">
      <c r="C131" s="171" t="s">
        <v>110</v>
      </c>
      <c r="D131" s="199"/>
      <c r="E131" s="189">
        <v>0</v>
      </c>
      <c r="F131" s="189">
        <f>D131-E131</f>
        <v>0</v>
      </c>
    </row>
    <row r="132" spans="1:4" ht="15" customHeight="1" hidden="1">
      <c r="A132" s="171">
        <v>430</v>
      </c>
      <c r="B132" s="202" t="s">
        <v>112</v>
      </c>
      <c r="D132" s="199"/>
    </row>
    <row r="133" spans="2:6" ht="15" customHeight="1">
      <c r="B133" s="202"/>
      <c r="C133" s="1" t="s">
        <v>110</v>
      </c>
      <c r="D133" s="199">
        <f>Sheet2!B98</f>
        <v>620.55</v>
      </c>
      <c r="E133" s="189">
        <v>0</v>
      </c>
      <c r="F133" s="203">
        <f>D133-E133</f>
        <v>620.55</v>
      </c>
    </row>
    <row r="134" spans="2:6" ht="15" customHeight="1">
      <c r="B134" s="202"/>
      <c r="C134" s="171" t="s">
        <v>113</v>
      </c>
      <c r="D134" s="199">
        <f>Sheet2!B99</f>
        <v>1118.68</v>
      </c>
      <c r="E134" s="189">
        <v>865</v>
      </c>
      <c r="F134" s="203">
        <f>D134-E134</f>
        <v>253.68000000000006</v>
      </c>
    </row>
    <row r="135" spans="2:4" ht="15" customHeight="1">
      <c r="B135" s="202"/>
      <c r="D135" s="206"/>
    </row>
    <row r="136" spans="1:4" ht="15" customHeight="1">
      <c r="A136" s="171">
        <v>430</v>
      </c>
      <c r="B136" s="202" t="s">
        <v>112</v>
      </c>
      <c r="D136" s="199"/>
    </row>
    <row r="137" spans="3:6" ht="12.75">
      <c r="C137" s="171" t="s">
        <v>327</v>
      </c>
      <c r="D137" s="199">
        <f>Sheet2!B79</f>
        <v>10644.75</v>
      </c>
      <c r="E137" s="189">
        <v>17000</v>
      </c>
      <c r="F137" s="203">
        <f aca="true" t="shared" si="5" ref="F137:F146">D137-E137</f>
        <v>-6355.25</v>
      </c>
    </row>
    <row r="138" spans="3:6" ht="12.75" hidden="1">
      <c r="C138" s="171" t="s">
        <v>328</v>
      </c>
      <c r="D138" s="199"/>
      <c r="E138" s="189">
        <v>0</v>
      </c>
      <c r="F138" s="203">
        <f t="shared" si="5"/>
        <v>0</v>
      </c>
    </row>
    <row r="139" spans="3:6" ht="12.75">
      <c r="C139" s="171" t="s">
        <v>328</v>
      </c>
      <c r="D139" s="199">
        <f>Sheet2!B81+94</f>
        <v>687.45</v>
      </c>
      <c r="E139" s="189">
        <v>1000</v>
      </c>
      <c r="F139" s="203">
        <f t="shared" si="5"/>
        <v>-312.54999999999995</v>
      </c>
    </row>
    <row r="140" spans="3:6" ht="12.75">
      <c r="C140" s="171" t="s">
        <v>451</v>
      </c>
      <c r="D140" s="199">
        <v>0</v>
      </c>
      <c r="E140" s="189">
        <v>1000</v>
      </c>
      <c r="F140" s="203">
        <f t="shared" si="5"/>
        <v>-1000</v>
      </c>
    </row>
    <row r="141" spans="3:6" ht="12.75">
      <c r="C141" s="171" t="s">
        <v>331</v>
      </c>
      <c r="D141" s="199">
        <f>Sheet2!B80</f>
        <v>1313.37</v>
      </c>
      <c r="E141" s="189">
        <v>2000</v>
      </c>
      <c r="F141" s="203">
        <f t="shared" si="5"/>
        <v>-686.6300000000001</v>
      </c>
    </row>
    <row r="142" spans="3:6" ht="12.75" hidden="1">
      <c r="C142" s="171" t="s">
        <v>114</v>
      </c>
      <c r="D142" s="199"/>
      <c r="E142" s="189">
        <v>0</v>
      </c>
      <c r="F142" s="203">
        <f t="shared" si="5"/>
        <v>0</v>
      </c>
    </row>
    <row r="143" spans="3:6" ht="12.75">
      <c r="C143" s="171" t="s">
        <v>333</v>
      </c>
      <c r="D143" s="199">
        <f>Sheet2!B82</f>
        <v>2312.12</v>
      </c>
      <c r="E143" s="189">
        <v>4000</v>
      </c>
      <c r="F143" s="203">
        <f t="shared" si="5"/>
        <v>-1687.88</v>
      </c>
    </row>
    <row r="144" spans="3:6" ht="12.75">
      <c r="C144" s="171" t="s">
        <v>334</v>
      </c>
      <c r="D144" s="199">
        <f>Sheet2!B83</f>
        <v>2330.21</v>
      </c>
      <c r="E144" s="189">
        <v>3000</v>
      </c>
      <c r="F144" s="203">
        <f t="shared" si="5"/>
        <v>-669.79</v>
      </c>
    </row>
    <row r="145" spans="3:6" ht="12.75" hidden="1">
      <c r="C145" s="171" t="s">
        <v>335</v>
      </c>
      <c r="D145" s="199"/>
      <c r="E145" s="189">
        <v>0</v>
      </c>
      <c r="F145" s="203">
        <f t="shared" si="5"/>
        <v>0</v>
      </c>
    </row>
    <row r="146" spans="3:6" ht="12.75">
      <c r="C146" s="171" t="s">
        <v>452</v>
      </c>
      <c r="D146" s="199">
        <v>0</v>
      </c>
      <c r="E146" s="189">
        <v>1500</v>
      </c>
      <c r="F146" s="203">
        <f t="shared" si="5"/>
        <v>-1500</v>
      </c>
    </row>
    <row r="147" spans="1:4" ht="12.75">
      <c r="A147" s="171">
        <v>434</v>
      </c>
      <c r="B147" s="202" t="s">
        <v>115</v>
      </c>
      <c r="D147" s="199"/>
    </row>
    <row r="148" spans="3:6" ht="12.75">
      <c r="C148" s="171" t="s">
        <v>116</v>
      </c>
      <c r="D148" s="199">
        <f>Sheet2!B84</f>
        <v>8228.13</v>
      </c>
      <c r="E148" s="189">
        <v>10428</v>
      </c>
      <c r="F148" s="203">
        <f>D148-E148</f>
        <v>-2199.870000000001</v>
      </c>
    </row>
    <row r="149" spans="1:4" ht="12.75">
      <c r="A149" s="171">
        <v>442</v>
      </c>
      <c r="B149" s="202" t="s">
        <v>117</v>
      </c>
      <c r="D149" s="199"/>
    </row>
    <row r="150" spans="2:6" ht="12.75" hidden="1">
      <c r="B150" s="181">
        <v>411.05</v>
      </c>
      <c r="C150" s="171" t="s">
        <v>118</v>
      </c>
      <c r="D150" s="199"/>
      <c r="E150" s="189">
        <v>0</v>
      </c>
      <c r="F150" s="189">
        <f>D150-E150</f>
        <v>0</v>
      </c>
    </row>
    <row r="151" spans="3:6" ht="12.75">
      <c r="C151" s="171" t="s">
        <v>119</v>
      </c>
      <c r="D151" s="199">
        <f>Sheet2!B89</f>
        <v>37225.65</v>
      </c>
      <c r="E151" s="189">
        <v>54686.84</v>
      </c>
      <c r="F151" s="203">
        <f>D151-E151</f>
        <v>-17461.189999999995</v>
      </c>
    </row>
    <row r="152" spans="3:6" ht="12.75">
      <c r="C152" s="171" t="s">
        <v>120</v>
      </c>
      <c r="D152" s="199">
        <f>Sheet2!B90</f>
        <v>3789.48</v>
      </c>
      <c r="E152" s="189">
        <v>0</v>
      </c>
      <c r="F152" s="203">
        <f>D152-E152</f>
        <v>3789.48</v>
      </c>
    </row>
    <row r="153" spans="1:4" ht="12.75">
      <c r="A153" s="171">
        <v>417</v>
      </c>
      <c r="B153" s="202" t="s">
        <v>121</v>
      </c>
      <c r="D153" s="199"/>
    </row>
    <row r="154" spans="3:6" ht="12.75">
      <c r="C154" s="171" t="s">
        <v>349</v>
      </c>
      <c r="D154" s="199">
        <v>3200</v>
      </c>
      <c r="E154" s="189">
        <v>3600</v>
      </c>
      <c r="F154" s="203">
        <f>D154-E154</f>
        <v>-400</v>
      </c>
    </row>
    <row r="155" spans="3:6" ht="12.75">
      <c r="C155" s="171" t="s">
        <v>350</v>
      </c>
      <c r="D155" s="199">
        <v>1933</v>
      </c>
      <c r="E155" s="189">
        <v>2000</v>
      </c>
      <c r="F155" s="203">
        <f>D155-E155</f>
        <v>-67</v>
      </c>
    </row>
    <row r="156" spans="3:6" ht="12.75">
      <c r="C156" s="171" t="s">
        <v>351</v>
      </c>
      <c r="D156" s="199">
        <v>3300</v>
      </c>
      <c r="E156" s="189">
        <v>3300</v>
      </c>
      <c r="F156" s="203">
        <f>D156-E156</f>
        <v>0</v>
      </c>
    </row>
    <row r="157" spans="1:4" ht="9.75" customHeight="1">
      <c r="A157" s="171">
        <v>429</v>
      </c>
      <c r="B157" s="202" t="s">
        <v>122</v>
      </c>
      <c r="D157" s="199"/>
    </row>
    <row r="158" spans="3:6" ht="12.75">
      <c r="C158" s="171" t="s">
        <v>123</v>
      </c>
      <c r="D158" s="199">
        <f>Sheet2!B78</f>
        <v>1320</v>
      </c>
      <c r="E158" s="189">
        <v>2000</v>
      </c>
      <c r="F158" s="203">
        <f>D158-E158</f>
        <v>-680</v>
      </c>
    </row>
    <row r="159" spans="2:6" ht="12.75" hidden="1">
      <c r="B159" s="181">
        <v>429.1</v>
      </c>
      <c r="C159" s="171" t="s">
        <v>124</v>
      </c>
      <c r="D159" s="199"/>
      <c r="E159" s="189">
        <v>0</v>
      </c>
      <c r="F159" s="189">
        <f>D159-E159</f>
        <v>0</v>
      </c>
    </row>
    <row r="160" spans="1:4" ht="12.75">
      <c r="A160" s="207">
        <v>450</v>
      </c>
      <c r="B160" s="202" t="s">
        <v>125</v>
      </c>
      <c r="D160" s="199"/>
    </row>
    <row r="161" spans="1:6" ht="12.75">
      <c r="A161" s="207"/>
      <c r="B161" s="202"/>
      <c r="C161" s="171" t="s">
        <v>126</v>
      </c>
      <c r="D161" s="199"/>
      <c r="E161" s="189">
        <v>100</v>
      </c>
      <c r="F161" s="203">
        <f>D161-E161</f>
        <v>-100</v>
      </c>
    </row>
    <row r="162" spans="1:6" ht="12.75">
      <c r="A162" s="207"/>
      <c r="B162" s="202"/>
      <c r="C162" s="171" t="s">
        <v>127</v>
      </c>
      <c r="D162" s="199"/>
      <c r="E162" s="189">
        <v>500</v>
      </c>
      <c r="F162" s="203">
        <f>D162-E162</f>
        <v>-500</v>
      </c>
    </row>
    <row r="163" spans="1:4" ht="12.75">
      <c r="A163" s="207">
        <v>453</v>
      </c>
      <c r="B163" s="202" t="s">
        <v>128</v>
      </c>
      <c r="D163" s="199"/>
    </row>
    <row r="164" spans="3:6" ht="12.75">
      <c r="C164" s="171" t="s">
        <v>343</v>
      </c>
      <c r="D164" s="199">
        <v>100</v>
      </c>
      <c r="E164" s="189">
        <v>100</v>
      </c>
      <c r="F164" s="203">
        <f>D164-E164</f>
        <v>0</v>
      </c>
    </row>
    <row r="165" spans="3:6" ht="12.75">
      <c r="C165" s="171" t="s">
        <v>344</v>
      </c>
      <c r="D165" s="199">
        <v>100</v>
      </c>
      <c r="E165" s="189">
        <v>100</v>
      </c>
      <c r="F165" s="203">
        <f>D165-E165</f>
        <v>0</v>
      </c>
    </row>
    <row r="166" spans="3:6" ht="12.75">
      <c r="C166" s="171" t="s">
        <v>345</v>
      </c>
      <c r="D166" s="199">
        <v>100</v>
      </c>
      <c r="E166" s="189">
        <v>100</v>
      </c>
      <c r="F166" s="203">
        <f>D166-E166</f>
        <v>0</v>
      </c>
    </row>
    <row r="167" spans="3:6" ht="12.75">
      <c r="C167" s="171" t="s">
        <v>455</v>
      </c>
      <c r="D167" s="199">
        <v>0</v>
      </c>
      <c r="E167" s="189">
        <v>150</v>
      </c>
      <c r="F167" s="203">
        <f>D167-E167</f>
        <v>-150</v>
      </c>
    </row>
    <row r="168" spans="3:6" ht="12.75">
      <c r="C168" s="171" t="s">
        <v>346</v>
      </c>
      <c r="D168" s="199">
        <v>0</v>
      </c>
      <c r="E168" s="189">
        <v>65</v>
      </c>
      <c r="F168" s="203">
        <f>D168-E168</f>
        <v>-65</v>
      </c>
    </row>
    <row r="169" spans="1:2" ht="12.75">
      <c r="A169" s="171">
        <v>455</v>
      </c>
      <c r="B169" s="202" t="s">
        <v>129</v>
      </c>
    </row>
    <row r="170" spans="3:6" ht="12.75">
      <c r="C170" s="171" t="s">
        <v>130</v>
      </c>
      <c r="D170" s="199">
        <f>Sheet2!B100</f>
        <v>6822.71</v>
      </c>
      <c r="E170" s="189">
        <v>22619.16</v>
      </c>
      <c r="F170" s="203">
        <f>D170-E170</f>
        <v>-15796.45</v>
      </c>
    </row>
    <row r="171" spans="1:4" ht="12.75">
      <c r="A171" s="171">
        <v>465</v>
      </c>
      <c r="B171" s="202" t="s">
        <v>48</v>
      </c>
      <c r="D171" s="199"/>
    </row>
    <row r="172" spans="3:8" ht="12.75">
      <c r="C172" s="171" t="s">
        <v>131</v>
      </c>
      <c r="D172" s="199">
        <f>Sheet2!B88+97.15</f>
        <v>2119.2</v>
      </c>
      <c r="E172" s="189">
        <v>350</v>
      </c>
      <c r="F172" s="203">
        <f>D172-E172</f>
        <v>1769.1999999999998</v>
      </c>
      <c r="H172" s="189"/>
    </row>
    <row r="173" spans="3:6" ht="12.75">
      <c r="C173" s="171" t="s">
        <v>132</v>
      </c>
      <c r="D173" s="199">
        <f>Sheet2!B64</f>
        <v>42.05</v>
      </c>
      <c r="E173" s="189">
        <v>300</v>
      </c>
      <c r="F173" s="203">
        <f>D173-E173</f>
        <v>-257.95</v>
      </c>
    </row>
    <row r="174" spans="1:4" ht="12.75">
      <c r="A174" s="205" t="s">
        <v>133</v>
      </c>
      <c r="B174" s="202" t="s">
        <v>134</v>
      </c>
      <c r="D174" s="199"/>
    </row>
    <row r="175" spans="3:6" ht="12.75">
      <c r="C175" s="171" t="s">
        <v>135</v>
      </c>
      <c r="D175" s="199">
        <f>Sheet2!B91</f>
        <v>2188.01</v>
      </c>
      <c r="E175" s="189">
        <v>2532.15</v>
      </c>
      <c r="F175" s="203">
        <f>D175-E175</f>
        <v>-344.1399999999999</v>
      </c>
    </row>
    <row r="176" spans="3:6" ht="12.75">
      <c r="C176" s="171" t="s">
        <v>136</v>
      </c>
      <c r="D176" s="199">
        <v>0</v>
      </c>
      <c r="E176" s="189">
        <v>50</v>
      </c>
      <c r="F176" s="203">
        <f>D176-E176</f>
        <v>-50</v>
      </c>
    </row>
    <row r="177" spans="1:6" ht="12.75">
      <c r="A177" s="171">
        <v>492</v>
      </c>
      <c r="B177" s="202" t="s">
        <v>137</v>
      </c>
      <c r="D177" s="199">
        <v>8760.2</v>
      </c>
      <c r="E177" s="189">
        <v>8760</v>
      </c>
      <c r="F177" s="203">
        <f>D177-E177</f>
        <v>0.2000000000007276</v>
      </c>
    </row>
    <row r="178" spans="2:6" ht="12.75">
      <c r="B178" s="171"/>
      <c r="D178" s="208"/>
      <c r="E178" s="195"/>
      <c r="F178" s="195"/>
    </row>
    <row r="180" spans="3:9" ht="12.75">
      <c r="C180" s="171" t="s">
        <v>138</v>
      </c>
      <c r="D180" s="209">
        <f>SUM(D129:D178)+SUM(D64:D120)</f>
        <v>201860.91000000003</v>
      </c>
      <c r="E180" s="209">
        <f>SUM(E129:E178)+SUM(E64:E120)</f>
        <v>261861.66999999998</v>
      </c>
      <c r="F180" s="209">
        <f>SUM(F129:F178)+SUM(F64:F120)</f>
        <v>-60000.76</v>
      </c>
      <c r="H180" s="189"/>
      <c r="I180" s="189"/>
    </row>
    <row r="181" ht="12.75">
      <c r="D181" s="199"/>
    </row>
    <row r="182" spans="3:9" ht="12.75">
      <c r="C182" s="171" t="s">
        <v>139</v>
      </c>
      <c r="D182" s="210">
        <f>-D56+D180</f>
        <v>-43426.08999999994</v>
      </c>
      <c r="E182" s="210">
        <f>-E56+E180</f>
        <v>-0.26200000004610047</v>
      </c>
      <c r="F182" s="210">
        <f>+F56-F180</f>
        <v>43425.82799999998</v>
      </c>
      <c r="H182" s="189"/>
      <c r="I182" s="189"/>
    </row>
    <row r="183" ht="13.5" customHeight="1" thickTop="1"/>
    <row r="184" spans="3:4" ht="13.5" thickBot="1">
      <c r="C184" s="204" t="s">
        <v>539</v>
      </c>
      <c r="D184" s="211"/>
    </row>
    <row r="185" spans="3:4" ht="12.75">
      <c r="C185" s="171" t="s">
        <v>140</v>
      </c>
      <c r="D185" s="211"/>
    </row>
    <row r="186" spans="3:4" ht="12.75">
      <c r="C186" s="171" t="s">
        <v>141</v>
      </c>
      <c r="D186" s="211"/>
    </row>
    <row r="187" spans="1:11" ht="12.75">
      <c r="A187" s="207"/>
      <c r="B187" s="212"/>
      <c r="C187" s="213"/>
      <c r="D187" s="214"/>
      <c r="E187" s="215"/>
      <c r="F187" s="214"/>
      <c r="G187" s="213"/>
      <c r="H187" s="216"/>
      <c r="I187" s="215"/>
      <c r="J187" s="214"/>
      <c r="K187" s="217"/>
    </row>
    <row r="188" spans="1:11" ht="12.75">
      <c r="A188" s="207"/>
      <c r="B188" s="171"/>
      <c r="C188" s="213"/>
      <c r="D188" s="214"/>
      <c r="E188" s="215"/>
      <c r="F188" s="214"/>
      <c r="G188" s="213"/>
      <c r="H188" s="216"/>
      <c r="I188" s="215"/>
      <c r="J188" s="214"/>
      <c r="K188" s="218"/>
    </row>
    <row r="189" spans="1:11" ht="12.75">
      <c r="A189" s="207"/>
      <c r="B189" s="171"/>
      <c r="C189" s="213"/>
      <c r="D189" s="214"/>
      <c r="E189" s="219"/>
      <c r="F189" s="214"/>
      <c r="G189" s="213"/>
      <c r="H189" s="216"/>
      <c r="I189" s="215"/>
      <c r="J189" s="214"/>
      <c r="K189" s="218"/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  <headerFooter alignWithMargins="0">
    <oddFooter>&amp;LTreasurer's Report -Feb 2014</oddFooter>
  </headerFooter>
  <rowBreaks count="2" manualBreakCount="2">
    <brk id="55" max="255" man="1"/>
    <brk id="1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87">
      <selection activeCell="D89" sqref="D89"/>
    </sheetView>
  </sheetViews>
  <sheetFormatPr defaultColWidth="9.140625" defaultRowHeight="12.75"/>
  <cols>
    <col min="1" max="1" width="50.140625" style="0" bestFit="1" customWidth="1"/>
    <col min="2" max="2" width="11.00390625" style="0" bestFit="1" customWidth="1"/>
  </cols>
  <sheetData>
    <row r="1" ht="12.75">
      <c r="A1" t="s">
        <v>142</v>
      </c>
    </row>
    <row r="2" ht="12.75">
      <c r="A2" t="s">
        <v>144</v>
      </c>
    </row>
    <row r="3" ht="12.75">
      <c r="A3" t="s">
        <v>501</v>
      </c>
    </row>
    <row r="5" ht="12.75">
      <c r="B5" t="s">
        <v>145</v>
      </c>
    </row>
    <row r="6" ht="12.75">
      <c r="A6" t="s">
        <v>146</v>
      </c>
    </row>
    <row r="7" spans="1:2" ht="14.25">
      <c r="A7" t="s">
        <v>483</v>
      </c>
      <c r="B7" s="164">
        <v>100458.59</v>
      </c>
    </row>
    <row r="8" spans="1:2" ht="14.25">
      <c r="A8" t="s">
        <v>363</v>
      </c>
      <c r="B8" s="164">
        <v>2116.4</v>
      </c>
    </row>
    <row r="9" spans="1:2" ht="14.25">
      <c r="A9" t="s">
        <v>364</v>
      </c>
      <c r="B9" s="164">
        <v>11804.41</v>
      </c>
    </row>
    <row r="10" spans="1:2" ht="14.25">
      <c r="A10" t="s">
        <v>484</v>
      </c>
      <c r="B10" s="164">
        <v>550</v>
      </c>
    </row>
    <row r="11" spans="1:2" ht="14.25">
      <c r="A11" t="s">
        <v>485</v>
      </c>
      <c r="B11" s="164">
        <v>890</v>
      </c>
    </row>
    <row r="12" spans="1:2" ht="14.25">
      <c r="A12" t="s">
        <v>365</v>
      </c>
      <c r="B12" s="164">
        <v>5.5</v>
      </c>
    </row>
    <row r="13" spans="1:2" ht="14.25">
      <c r="A13" t="s">
        <v>472</v>
      </c>
      <c r="B13" s="164">
        <v>1681.4</v>
      </c>
    </row>
    <row r="14" spans="1:2" ht="14.25">
      <c r="A14" t="s">
        <v>366</v>
      </c>
      <c r="B14" s="164">
        <v>23769.08</v>
      </c>
    </row>
    <row r="15" spans="1:2" ht="14.25">
      <c r="A15" t="s">
        <v>463</v>
      </c>
      <c r="B15" s="164">
        <v>1578.8</v>
      </c>
    </row>
    <row r="16" spans="1:2" ht="14.25">
      <c r="A16" t="s">
        <v>367</v>
      </c>
      <c r="B16" s="164">
        <v>235.15</v>
      </c>
    </row>
    <row r="17" spans="1:2" ht="14.25">
      <c r="A17" t="s">
        <v>473</v>
      </c>
      <c r="B17" s="164">
        <v>392.92</v>
      </c>
    </row>
    <row r="18" spans="1:2" ht="14.25">
      <c r="A18" t="s">
        <v>368</v>
      </c>
      <c r="B18" s="164">
        <v>415.79</v>
      </c>
    </row>
    <row r="19" spans="1:2" ht="14.25">
      <c r="A19" t="s">
        <v>369</v>
      </c>
      <c r="B19" s="164">
        <v>412.09</v>
      </c>
    </row>
    <row r="20" spans="1:2" ht="14.25">
      <c r="A20" t="s">
        <v>370</v>
      </c>
      <c r="B20" s="164">
        <v>158.05</v>
      </c>
    </row>
    <row r="21" spans="1:2" ht="14.25">
      <c r="A21" t="s">
        <v>371</v>
      </c>
      <c r="B21" s="164">
        <v>570.14</v>
      </c>
    </row>
    <row r="22" spans="1:2" ht="14.25">
      <c r="A22" t="s">
        <v>474</v>
      </c>
      <c r="B22" s="164">
        <v>12</v>
      </c>
    </row>
    <row r="23" spans="1:2" ht="14.25">
      <c r="A23" t="s">
        <v>464</v>
      </c>
      <c r="B23" s="164">
        <v>800</v>
      </c>
    </row>
    <row r="24" spans="1:2" ht="14.25">
      <c r="A24" t="s">
        <v>492</v>
      </c>
      <c r="B24" s="164">
        <v>200</v>
      </c>
    </row>
    <row r="25" spans="1:2" ht="14.25">
      <c r="A25" t="s">
        <v>477</v>
      </c>
      <c r="B25" s="165">
        <v>222.86</v>
      </c>
    </row>
    <row r="26" spans="1:2" ht="14.25">
      <c r="A26" t="s">
        <v>486</v>
      </c>
      <c r="B26" s="164">
        <v>11162.07</v>
      </c>
    </row>
    <row r="27" spans="1:2" ht="14.25">
      <c r="A27" t="s">
        <v>372</v>
      </c>
      <c r="B27" s="164">
        <v>235.16</v>
      </c>
    </row>
    <row r="28" spans="1:2" ht="14.25">
      <c r="A28" t="s">
        <v>373</v>
      </c>
      <c r="B28" s="164">
        <v>35412.07</v>
      </c>
    </row>
    <row r="29" spans="1:2" ht="14.25">
      <c r="A29" t="s">
        <v>374</v>
      </c>
      <c r="B29" s="164">
        <v>6663.77</v>
      </c>
    </row>
    <row r="30" spans="1:2" ht="14.25">
      <c r="A30" t="s">
        <v>487</v>
      </c>
      <c r="B30" s="164">
        <v>-1876.86</v>
      </c>
    </row>
    <row r="31" spans="1:2" ht="14.25">
      <c r="A31" t="s">
        <v>488</v>
      </c>
      <c r="B31" s="164">
        <v>-208.55</v>
      </c>
    </row>
    <row r="32" spans="1:2" ht="14.25">
      <c r="A32" t="s">
        <v>489</v>
      </c>
      <c r="B32" s="164">
        <v>-10</v>
      </c>
    </row>
    <row r="33" spans="1:2" ht="14.25">
      <c r="A33" t="s">
        <v>490</v>
      </c>
      <c r="B33" s="164">
        <v>-16.1</v>
      </c>
    </row>
    <row r="34" spans="1:2" ht="14.25">
      <c r="A34" t="s">
        <v>465</v>
      </c>
      <c r="B34" s="164">
        <v>23071.62</v>
      </c>
    </row>
    <row r="35" spans="1:2" ht="14.25">
      <c r="A35" t="s">
        <v>375</v>
      </c>
      <c r="B35" s="164">
        <v>346.5</v>
      </c>
    </row>
    <row r="36" spans="1:2" ht="14.25">
      <c r="A36" t="s">
        <v>478</v>
      </c>
      <c r="B36" s="164">
        <v>137.64</v>
      </c>
    </row>
    <row r="37" spans="1:2" ht="14.25">
      <c r="A37" t="s">
        <v>376</v>
      </c>
      <c r="B37" s="164">
        <v>298.24</v>
      </c>
    </row>
    <row r="38" spans="1:2" ht="14.25">
      <c r="A38" t="s">
        <v>377</v>
      </c>
      <c r="B38" s="164">
        <v>1311.61</v>
      </c>
    </row>
    <row r="39" spans="1:2" ht="14.25">
      <c r="A39" t="s">
        <v>153</v>
      </c>
      <c r="B39" s="164">
        <v>222230.21000000002</v>
      </c>
    </row>
    <row r="40" spans="1:2" ht="14.25">
      <c r="A40" t="s">
        <v>378</v>
      </c>
      <c r="B40" s="164">
        <v>222230.21000000002</v>
      </c>
    </row>
    <row r="41" spans="1:2" ht="14.25">
      <c r="A41" t="s">
        <v>154</v>
      </c>
      <c r="B41" s="164"/>
    </row>
    <row r="42" spans="1:2" ht="14.25" hidden="1">
      <c r="A42" t="s">
        <v>379</v>
      </c>
      <c r="B42" s="164">
        <v>3075</v>
      </c>
    </row>
    <row r="43" spans="1:2" ht="14.25" hidden="1">
      <c r="A43" t="s">
        <v>493</v>
      </c>
      <c r="B43" s="164">
        <v>49</v>
      </c>
    </row>
    <row r="44" spans="1:2" ht="14.25" hidden="1">
      <c r="A44" t="s">
        <v>380</v>
      </c>
      <c r="B44" s="164">
        <v>300</v>
      </c>
    </row>
    <row r="45" spans="1:2" ht="14.25" hidden="1">
      <c r="A45" t="s">
        <v>502</v>
      </c>
      <c r="B45" s="164">
        <v>984.5</v>
      </c>
    </row>
    <row r="46" spans="1:2" ht="14.25" hidden="1">
      <c r="A46" t="s">
        <v>494</v>
      </c>
      <c r="B46" s="164">
        <v>160</v>
      </c>
    </row>
    <row r="47" spans="1:2" ht="14.25" hidden="1">
      <c r="A47" t="s">
        <v>381</v>
      </c>
      <c r="B47" s="164">
        <v>1462.64</v>
      </c>
    </row>
    <row r="48" spans="1:2" ht="14.25" hidden="1">
      <c r="A48" t="s">
        <v>382</v>
      </c>
      <c r="B48" s="164">
        <v>900</v>
      </c>
    </row>
    <row r="49" spans="1:2" ht="14.25" hidden="1">
      <c r="A49" t="s">
        <v>431</v>
      </c>
      <c r="B49" s="164">
        <v>50</v>
      </c>
    </row>
    <row r="50" spans="1:2" ht="14.25" hidden="1">
      <c r="A50" t="s">
        <v>383</v>
      </c>
      <c r="B50" s="164">
        <v>2325</v>
      </c>
    </row>
    <row r="51" spans="1:2" ht="14.25" hidden="1">
      <c r="A51" t="s">
        <v>479</v>
      </c>
      <c r="B51" s="164">
        <v>314.69</v>
      </c>
    </row>
    <row r="52" spans="1:2" ht="14.25" hidden="1">
      <c r="A52" t="s">
        <v>384</v>
      </c>
      <c r="B52" s="164">
        <v>3150.7</v>
      </c>
    </row>
    <row r="53" spans="1:2" ht="14.25" hidden="1">
      <c r="A53" t="s">
        <v>385</v>
      </c>
      <c r="B53" s="164">
        <v>5328</v>
      </c>
    </row>
    <row r="54" spans="1:2" ht="14.25" hidden="1">
      <c r="A54" t="s">
        <v>386</v>
      </c>
      <c r="B54" s="164">
        <v>617.48</v>
      </c>
    </row>
    <row r="55" spans="1:2" ht="14.25" hidden="1">
      <c r="A55" t="s">
        <v>387</v>
      </c>
      <c r="B55" s="164">
        <v>680.52</v>
      </c>
    </row>
    <row r="56" spans="1:2" ht="14.25" hidden="1">
      <c r="A56" t="s">
        <v>388</v>
      </c>
      <c r="B56" s="164">
        <v>284.67</v>
      </c>
    </row>
    <row r="57" spans="1:2" ht="14.25" hidden="1">
      <c r="A57" t="s">
        <v>480</v>
      </c>
      <c r="B57" s="164">
        <v>22.05</v>
      </c>
    </row>
    <row r="58" spans="1:2" ht="14.25" hidden="1">
      <c r="A58" t="s">
        <v>466</v>
      </c>
      <c r="B58" s="164">
        <v>391.9</v>
      </c>
    </row>
    <row r="59" spans="1:2" ht="14.25" hidden="1">
      <c r="A59" t="s">
        <v>495</v>
      </c>
      <c r="B59" s="164">
        <v>750</v>
      </c>
    </row>
    <row r="60" spans="1:2" ht="14.25" hidden="1">
      <c r="A60" t="s">
        <v>467</v>
      </c>
      <c r="B60" s="164">
        <v>165.21</v>
      </c>
    </row>
    <row r="61" spans="1:2" ht="14.25" hidden="1">
      <c r="A61" t="s">
        <v>389</v>
      </c>
      <c r="B61" s="164">
        <v>405.6</v>
      </c>
    </row>
    <row r="62" spans="1:2" ht="14.25" hidden="1">
      <c r="A62" t="s">
        <v>390</v>
      </c>
      <c r="B62" s="164">
        <v>539.74</v>
      </c>
    </row>
    <row r="63" spans="1:2" ht="14.25" hidden="1">
      <c r="A63" t="s">
        <v>391</v>
      </c>
      <c r="B63" s="164">
        <v>653.81</v>
      </c>
    </row>
    <row r="64" spans="1:2" ht="14.25" hidden="1">
      <c r="A64" t="s">
        <v>392</v>
      </c>
      <c r="B64" s="164">
        <v>1176.99</v>
      </c>
    </row>
    <row r="65" spans="1:2" ht="14.25" hidden="1">
      <c r="A65" t="s">
        <v>496</v>
      </c>
      <c r="B65" s="164">
        <v>855</v>
      </c>
    </row>
    <row r="66" spans="1:2" ht="14.25" hidden="1">
      <c r="A66" t="s">
        <v>393</v>
      </c>
      <c r="B66" s="164">
        <v>6473.25</v>
      </c>
    </row>
    <row r="67" spans="1:2" ht="14.25" hidden="1">
      <c r="A67" t="s">
        <v>481</v>
      </c>
      <c r="B67" s="164">
        <v>72.48</v>
      </c>
    </row>
    <row r="68" spans="1:2" ht="14.25" hidden="1">
      <c r="A68" t="s">
        <v>394</v>
      </c>
      <c r="B68" s="164">
        <v>1070.95</v>
      </c>
    </row>
    <row r="69" spans="1:2" ht="14.25" hidden="1">
      <c r="A69" t="s">
        <v>468</v>
      </c>
      <c r="B69" s="164">
        <v>436.27</v>
      </c>
    </row>
    <row r="70" spans="1:2" ht="14.25" hidden="1">
      <c r="A70" t="s">
        <v>475</v>
      </c>
      <c r="B70" s="164">
        <v>2211.62</v>
      </c>
    </row>
    <row r="71" spans="1:2" ht="14.25" hidden="1">
      <c r="A71" t="s">
        <v>395</v>
      </c>
      <c r="B71" s="164">
        <v>2144.25</v>
      </c>
    </row>
    <row r="72" spans="1:2" ht="14.25" hidden="1">
      <c r="A72" t="s">
        <v>396</v>
      </c>
      <c r="B72" s="164">
        <v>6537.87</v>
      </c>
    </row>
    <row r="73" spans="1:2" ht="14.25" hidden="1">
      <c r="A73" t="s">
        <v>476</v>
      </c>
      <c r="B73" s="164">
        <v>100</v>
      </c>
    </row>
    <row r="74" spans="1:2" ht="14.25" hidden="1">
      <c r="A74" t="s">
        <v>497</v>
      </c>
      <c r="B74" s="164">
        <v>200</v>
      </c>
    </row>
    <row r="75" spans="1:2" ht="14.25" hidden="1">
      <c r="A75" t="s">
        <v>498</v>
      </c>
      <c r="B75" s="164">
        <v>200</v>
      </c>
    </row>
    <row r="76" spans="1:2" ht="14.25" hidden="1">
      <c r="A76" t="s">
        <v>397</v>
      </c>
      <c r="B76" s="164">
        <v>2122.8</v>
      </c>
    </row>
    <row r="77" spans="1:2" ht="14.25" hidden="1">
      <c r="A77" t="s">
        <v>398</v>
      </c>
      <c r="B77" s="164">
        <v>37225.65</v>
      </c>
    </row>
    <row r="78" spans="1:2" ht="14.25" hidden="1">
      <c r="A78" t="s">
        <v>399</v>
      </c>
      <c r="B78" s="164">
        <v>3789.48</v>
      </c>
    </row>
    <row r="79" spans="1:2" ht="14.25" hidden="1">
      <c r="A79" t="s">
        <v>400</v>
      </c>
      <c r="B79" s="164">
        <v>1379.05</v>
      </c>
    </row>
    <row r="80" spans="1:2" ht="14.25" hidden="1">
      <c r="A80" t="s">
        <v>469</v>
      </c>
      <c r="B80" s="164">
        <v>9946</v>
      </c>
    </row>
    <row r="81" spans="1:2" ht="14.25">
      <c r="A81" t="s">
        <v>470</v>
      </c>
      <c r="B81" s="164">
        <v>6902</v>
      </c>
    </row>
    <row r="82" spans="1:2" ht="14.25">
      <c r="A82" t="s">
        <v>401</v>
      </c>
      <c r="B82" s="164">
        <v>787.52</v>
      </c>
    </row>
    <row r="83" spans="1:2" ht="14.25">
      <c r="A83" t="s">
        <v>402</v>
      </c>
      <c r="B83" s="164">
        <v>29796.16</v>
      </c>
    </row>
    <row r="84" spans="1:2" ht="14.25">
      <c r="A84" t="s">
        <v>471</v>
      </c>
      <c r="B84" s="164">
        <v>5916.34</v>
      </c>
    </row>
    <row r="85" spans="1:2" ht="14.25">
      <c r="A85" t="s">
        <v>403</v>
      </c>
      <c r="B85" s="164"/>
    </row>
    <row r="86" spans="1:2" ht="14.25">
      <c r="A86" t="s">
        <v>404</v>
      </c>
      <c r="B86" s="164">
        <v>5.73</v>
      </c>
    </row>
    <row r="87" spans="1:2" ht="14.25">
      <c r="A87" t="s">
        <v>405</v>
      </c>
      <c r="B87" s="164">
        <v>0</v>
      </c>
    </row>
    <row r="88" spans="1:2" ht="14.25">
      <c r="A88" t="s">
        <v>406</v>
      </c>
      <c r="B88" s="164">
        <v>5.73</v>
      </c>
    </row>
    <row r="89" spans="1:4" ht="14.25">
      <c r="A89" t="s">
        <v>407</v>
      </c>
      <c r="B89" s="164">
        <v>149.65</v>
      </c>
      <c r="C89">
        <f>52.5+52.5</f>
        <v>105</v>
      </c>
      <c r="D89" s="166">
        <f>B89-C89</f>
        <v>44.650000000000006</v>
      </c>
    </row>
    <row r="90" spans="1:2" ht="14.25">
      <c r="A90" t="s">
        <v>157</v>
      </c>
      <c r="B90" s="164">
        <v>142109.57</v>
      </c>
    </row>
    <row r="91" spans="1:2" ht="14.25">
      <c r="A91" t="s">
        <v>408</v>
      </c>
      <c r="B91" s="164">
        <v>80120.64000000001</v>
      </c>
    </row>
    <row r="92" spans="1:2" ht="14.25">
      <c r="A92" t="s">
        <v>409</v>
      </c>
      <c r="B92" s="164"/>
    </row>
    <row r="93" spans="1:2" ht="14.25">
      <c r="A93" t="s">
        <v>410</v>
      </c>
      <c r="B93" s="164">
        <v>0.02</v>
      </c>
    </row>
    <row r="94" spans="1:2" ht="14.25">
      <c r="A94" t="s">
        <v>411</v>
      </c>
      <c r="B94" s="164">
        <v>0.02</v>
      </c>
    </row>
    <row r="95" spans="1:2" ht="14.25">
      <c r="A95" t="s">
        <v>412</v>
      </c>
      <c r="B95" s="164">
        <v>-0.02</v>
      </c>
    </row>
    <row r="96" spans="1:2" ht="14.25">
      <c r="A96" t="s">
        <v>413</v>
      </c>
      <c r="B96" s="164">
        <v>80120.62000000001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65.00390625" style="0" customWidth="1"/>
    <col min="2" max="2" width="12.140625" style="0" customWidth="1"/>
    <col min="3" max="3" width="11.7109375" style="0" customWidth="1"/>
    <col min="5" max="5" width="40.421875" style="0" customWidth="1"/>
    <col min="6" max="6" width="11.421875" style="0" customWidth="1"/>
    <col min="7" max="7" width="12.28125" style="0" customWidth="1"/>
    <col min="8" max="8" width="9.28125" style="0" customWidth="1"/>
    <col min="9" max="9" width="10.8515625" style="0" customWidth="1"/>
  </cols>
  <sheetData>
    <row r="1" spans="1:2" ht="17.25">
      <c r="A1" s="221" t="s">
        <v>142</v>
      </c>
      <c r="B1" s="222"/>
    </row>
    <row r="2" spans="1:2" ht="17.25">
      <c r="A2" s="221" t="s">
        <v>143</v>
      </c>
      <c r="B2" s="222"/>
    </row>
    <row r="3" spans="1:2" ht="17.25">
      <c r="A3" s="221" t="s">
        <v>540</v>
      </c>
      <c r="B3" s="223"/>
    </row>
    <row r="5" spans="1:2" ht="12.75" customHeight="1">
      <c r="A5" s="11" t="s">
        <v>144</v>
      </c>
      <c r="B5" s="12" t="s">
        <v>145</v>
      </c>
    </row>
    <row r="6" spans="1:2" ht="17.25" customHeight="1">
      <c r="A6" s="13" t="s">
        <v>146</v>
      </c>
      <c r="B6" s="14"/>
    </row>
    <row r="7" spans="1:2" ht="12.75" customHeight="1">
      <c r="A7" s="15" t="s">
        <v>147</v>
      </c>
      <c r="B7" s="54">
        <f>'Oct 2017'!D16</f>
        <v>11310.1</v>
      </c>
    </row>
    <row r="8" spans="1:2" ht="12.75" customHeight="1">
      <c r="A8" s="15" t="s">
        <v>148</v>
      </c>
      <c r="B8" s="54">
        <f>'Oct 2017'!D17</f>
        <v>-208.55</v>
      </c>
    </row>
    <row r="9" spans="1:2" ht="12.75" customHeight="1">
      <c r="A9" s="15" t="s">
        <v>149</v>
      </c>
      <c r="B9" s="54">
        <f>'Oct 2017'!D18</f>
        <v>235.16</v>
      </c>
    </row>
    <row r="10" spans="1:2" ht="12.75" customHeight="1">
      <c r="A10" s="15" t="s">
        <v>150</v>
      </c>
      <c r="B10" s="54">
        <f>'Oct 2017'!D21</f>
        <v>1442.51</v>
      </c>
    </row>
    <row r="11" spans="1:2" ht="12.75" customHeight="1">
      <c r="A11" s="15" t="s">
        <v>151</v>
      </c>
      <c r="B11" s="54">
        <f>'Oct 2017'!D42</f>
        <v>2519</v>
      </c>
    </row>
    <row r="12" spans="1:5" ht="12.75" customHeight="1">
      <c r="A12" s="15" t="s">
        <v>152</v>
      </c>
      <c r="B12" s="55">
        <v>0</v>
      </c>
      <c r="E12" s="18"/>
    </row>
    <row r="13" spans="1:2" ht="18" customHeight="1">
      <c r="A13" s="19" t="s">
        <v>153</v>
      </c>
      <c r="B13" s="20">
        <f>SUM(B7:B12)</f>
        <v>15298.220000000001</v>
      </c>
    </row>
    <row r="14" spans="1:2" ht="12.75" customHeight="1">
      <c r="A14" s="18"/>
      <c r="B14" s="21"/>
    </row>
    <row r="15" spans="1:2" ht="12.75" customHeight="1">
      <c r="A15" s="13" t="s">
        <v>154</v>
      </c>
      <c r="B15" s="22"/>
    </row>
    <row r="16" spans="1:2" ht="12.75" customHeight="1">
      <c r="A16" s="15" t="s">
        <v>155</v>
      </c>
      <c r="B16" s="16">
        <f>'Oct 2017'!D110</f>
        <v>6902</v>
      </c>
    </row>
    <row r="17" spans="1:2" ht="12.75" customHeight="1">
      <c r="A17" s="15" t="s">
        <v>151</v>
      </c>
      <c r="B17" s="16">
        <f>'Oct 2017'!D113</f>
        <v>2519.38</v>
      </c>
    </row>
    <row r="18" spans="1:2" ht="12.75" customHeight="1">
      <c r="A18" s="15" t="s">
        <v>156</v>
      </c>
      <c r="B18" s="16">
        <f>'Oct 2017'!D112</f>
        <v>6646</v>
      </c>
    </row>
    <row r="19" spans="1:4" ht="15.75" customHeight="1">
      <c r="A19" s="13" t="s">
        <v>157</v>
      </c>
      <c r="B19" s="20">
        <f>SUM(B16:B18)</f>
        <v>16067.380000000001</v>
      </c>
      <c r="D19" s="23"/>
    </row>
    <row r="20" spans="1:2" ht="18" customHeight="1">
      <c r="A20" s="13" t="s">
        <v>158</v>
      </c>
      <c r="B20" s="24">
        <f>B13-B19</f>
        <v>-769.1599999999999</v>
      </c>
    </row>
    <row r="21" spans="1:2" ht="12.75" customHeight="1">
      <c r="A21" s="18"/>
      <c r="B21" s="16"/>
    </row>
    <row r="22" spans="1:2" ht="12.75" customHeight="1">
      <c r="A22" s="18"/>
      <c r="B22" s="25"/>
    </row>
    <row r="23" spans="1:2" ht="12.75" customHeight="1">
      <c r="A23" s="11" t="s">
        <v>159</v>
      </c>
      <c r="B23" s="25"/>
    </row>
    <row r="24" spans="1:2" ht="12.75" customHeight="1">
      <c r="A24" s="19" t="s">
        <v>541</v>
      </c>
      <c r="B24" s="26"/>
    </row>
    <row r="25" spans="1:7" ht="12.75" customHeight="1">
      <c r="A25" s="69" t="s">
        <v>542</v>
      </c>
      <c r="B25" s="28"/>
      <c r="C25" s="31">
        <f>'BS -Oct'!F19</f>
        <v>3187</v>
      </c>
      <c r="G25" s="29"/>
    </row>
    <row r="26" spans="1:7" ht="12.75" customHeight="1">
      <c r="A26" s="27" t="s">
        <v>160</v>
      </c>
      <c r="B26" s="30"/>
      <c r="C26" s="31">
        <f>B30+B32-555.1-2302.19-0.48-2302.26-1250.35-6782.45-2347-3811.15+96.6</f>
        <v>-28384.600000000002</v>
      </c>
      <c r="G26" s="32"/>
    </row>
    <row r="27" spans="1:3" ht="12.75" customHeight="1">
      <c r="A27" s="27" t="s">
        <v>161</v>
      </c>
      <c r="B27" s="28"/>
      <c r="C27" s="33" t="s">
        <v>482</v>
      </c>
    </row>
    <row r="28" spans="1:4" ht="12.75" customHeight="1">
      <c r="A28" s="69" t="s">
        <v>543</v>
      </c>
      <c r="B28" s="30"/>
      <c r="C28" s="34">
        <f>SUM(C25:C27)</f>
        <v>-25197.600000000002</v>
      </c>
      <c r="D28" s="10" t="s">
        <v>162</v>
      </c>
    </row>
    <row r="29" spans="1:3" ht="12.75" customHeight="1">
      <c r="A29" s="27" t="s">
        <v>163</v>
      </c>
      <c r="B29" s="30"/>
      <c r="C29" s="22"/>
    </row>
    <row r="30" spans="1:3" ht="12.75" customHeight="1">
      <c r="A30" s="27" t="s">
        <v>164</v>
      </c>
      <c r="B30" s="31">
        <v>-24428.44</v>
      </c>
      <c r="C30" s="22"/>
    </row>
    <row r="31" spans="1:9" ht="12.75" customHeight="1">
      <c r="A31" s="27" t="s">
        <v>165</v>
      </c>
      <c r="B31" s="31">
        <v>0</v>
      </c>
      <c r="C31" s="22"/>
      <c r="I31" s="32"/>
    </row>
    <row r="32" spans="1:9" ht="12.75" customHeight="1">
      <c r="A32" s="27" t="s">
        <v>166</v>
      </c>
      <c r="B32" s="31">
        <f>B13</f>
        <v>15298.220000000001</v>
      </c>
      <c r="C32" s="22"/>
      <c r="I32" s="32"/>
    </row>
    <row r="33" spans="1:9" ht="12.75" customHeight="1">
      <c r="A33" s="27" t="s">
        <v>167</v>
      </c>
      <c r="B33" s="36">
        <f>-B19</f>
        <v>-16067.380000000001</v>
      </c>
      <c r="C33" s="22"/>
      <c r="G33" s="32"/>
      <c r="I33" s="32"/>
    </row>
    <row r="34" spans="1:9" ht="12.75" customHeight="1">
      <c r="A34" s="27" t="s">
        <v>168</v>
      </c>
      <c r="B34" s="65">
        <f>B30+B31+B32+B33</f>
        <v>-25197.6</v>
      </c>
      <c r="C34" s="22"/>
      <c r="I34" s="32"/>
    </row>
    <row r="35" spans="1:9" ht="12.75" customHeight="1">
      <c r="A35" s="37" t="s">
        <v>4</v>
      </c>
      <c r="B35" s="31">
        <f>C28-B34</f>
        <v>0</v>
      </c>
      <c r="C35" s="22"/>
      <c r="I35" s="32"/>
    </row>
    <row r="36" spans="1:9" ht="12.75" customHeight="1">
      <c r="A36" s="18"/>
      <c r="B36" s="38"/>
      <c r="F36" s="39"/>
      <c r="G36" s="39"/>
      <c r="H36" s="39"/>
      <c r="I36" s="32"/>
    </row>
    <row r="37" spans="1:9" ht="12.75" customHeight="1">
      <c r="A37" s="18"/>
      <c r="B37" s="25"/>
      <c r="I37" s="32"/>
    </row>
    <row r="38" ht="12.75" customHeight="1">
      <c r="I38" s="32"/>
    </row>
    <row r="39" ht="12.75" customHeight="1"/>
    <row r="40" ht="12.75" customHeight="1"/>
    <row r="41" ht="12.75" customHeight="1"/>
    <row r="42" ht="12.75" customHeight="1"/>
    <row r="43" ht="12.75" customHeight="1"/>
    <row r="44" spans="1:2" ht="12.75" customHeight="1">
      <c r="A44" s="18"/>
      <c r="B44" s="25"/>
    </row>
    <row r="45" spans="1:2" ht="12.75" customHeight="1">
      <c r="A45" s="18"/>
      <c r="B45" s="25"/>
    </row>
    <row r="46" spans="1:2" ht="12.75" customHeight="1">
      <c r="A46" s="18"/>
      <c r="B46" s="25"/>
    </row>
    <row r="47" spans="1:2" ht="12.75" customHeight="1">
      <c r="A47" s="18"/>
      <c r="B47" s="25"/>
    </row>
    <row r="48" spans="1:2" ht="12.75" customHeight="1">
      <c r="A48" s="18"/>
      <c r="B48" s="25"/>
    </row>
    <row r="49" spans="1:2" ht="12.75" customHeight="1">
      <c r="A49" s="18"/>
      <c r="B49" s="25"/>
    </row>
    <row r="50" spans="1:2" ht="12.75" customHeight="1">
      <c r="A50" s="18"/>
      <c r="B50" s="25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65.00390625" style="0" customWidth="1"/>
    <col min="2" max="2" width="12.57421875" style="0" customWidth="1"/>
    <col min="3" max="3" width="15.421875" style="0" customWidth="1"/>
    <col min="4" max="4" width="12.7109375" style="0" customWidth="1"/>
    <col min="5" max="5" width="40.421875" style="0" customWidth="1"/>
    <col min="6" max="6" width="11.28125" style="0" customWidth="1"/>
  </cols>
  <sheetData>
    <row r="1" spans="1:2" ht="17.25">
      <c r="A1" s="221" t="s">
        <v>142</v>
      </c>
      <c r="B1" s="222"/>
    </row>
    <row r="2" spans="1:2" ht="17.25">
      <c r="A2" s="221" t="s">
        <v>169</v>
      </c>
      <c r="B2" s="222"/>
    </row>
    <row r="3" spans="1:2" ht="17.25">
      <c r="A3" s="221" t="str">
        <f>'Fire Tax - Oct'!A3:B3</f>
        <v>Month Ended:  October 31, 2017</v>
      </c>
      <c r="B3" s="223"/>
    </row>
    <row r="5" spans="1:2" ht="12.75" customHeight="1">
      <c r="A5" s="11" t="s">
        <v>144</v>
      </c>
      <c r="B5" s="12" t="s">
        <v>145</v>
      </c>
    </row>
    <row r="6" spans="1:2" ht="17.25" customHeight="1">
      <c r="A6" s="13" t="s">
        <v>146</v>
      </c>
      <c r="B6" s="14"/>
    </row>
    <row r="7" spans="1:2" ht="12.75" customHeight="1">
      <c r="A7" s="15" t="s">
        <v>170</v>
      </c>
      <c r="B7" s="16">
        <f>'Oct 2017'!D54</f>
        <v>23071.62</v>
      </c>
    </row>
    <row r="8" spans="1:2" ht="12.75" customHeight="1">
      <c r="A8" s="15" t="s">
        <v>171</v>
      </c>
      <c r="B8" s="16">
        <f>'Oct 2017'!D10</f>
        <v>8760.2</v>
      </c>
    </row>
    <row r="9" spans="1:5" ht="12.75" customHeight="1">
      <c r="A9" s="15" t="s">
        <v>172</v>
      </c>
      <c r="B9" s="17">
        <f>'Oct 2017'!D53</f>
        <v>261.48</v>
      </c>
      <c r="E9" s="18"/>
    </row>
    <row r="10" spans="1:2" ht="18" customHeight="1">
      <c r="A10" s="19" t="s">
        <v>153</v>
      </c>
      <c r="B10" s="20">
        <f>SUM(B7:B9)</f>
        <v>32093.3</v>
      </c>
    </row>
    <row r="11" spans="1:2" ht="12.75" customHeight="1">
      <c r="A11" s="18"/>
      <c r="B11" s="21"/>
    </row>
    <row r="12" spans="1:2" ht="12.75" customHeight="1">
      <c r="A12" s="13" t="s">
        <v>154</v>
      </c>
      <c r="B12" s="22"/>
    </row>
    <row r="13" spans="1:2" ht="12.75" customHeight="1">
      <c r="A13" s="15" t="s">
        <v>173</v>
      </c>
      <c r="B13" s="40">
        <f>'Oct 2017'!D170</f>
        <v>6822.71</v>
      </c>
    </row>
    <row r="14" spans="1:2" ht="19.5" customHeight="1">
      <c r="A14" s="13" t="s">
        <v>157</v>
      </c>
      <c r="B14" s="41">
        <f>SUM(B13:B13)</f>
        <v>6822.71</v>
      </c>
    </row>
    <row r="15" spans="1:3" ht="15.75" customHeight="1">
      <c r="A15" s="13" t="s">
        <v>158</v>
      </c>
      <c r="B15" s="42"/>
      <c r="C15" s="41">
        <f>B10-B14</f>
        <v>25270.59</v>
      </c>
    </row>
    <row r="16" spans="1:3" ht="12.75" customHeight="1">
      <c r="A16" s="18"/>
      <c r="B16" s="28"/>
      <c r="C16" s="31"/>
    </row>
    <row r="17" spans="1:7" ht="12.75" customHeight="1">
      <c r="A17" s="18"/>
      <c r="B17" s="30"/>
      <c r="G17" s="32"/>
    </row>
    <row r="18" spans="1:3" ht="12.75" customHeight="1">
      <c r="A18" s="11" t="s">
        <v>174</v>
      </c>
      <c r="B18" s="28"/>
      <c r="C18" s="31"/>
    </row>
    <row r="19" spans="1:3" ht="12.75" customHeight="1">
      <c r="A19" s="19" t="str">
        <f>'Fire Tax - Oct'!A24</f>
        <v>Month End: October 31, 2017</v>
      </c>
      <c r="B19" s="28"/>
      <c r="C19" s="43"/>
    </row>
    <row r="20" spans="1:3" ht="12.75" customHeight="1">
      <c r="A20" s="27" t="str">
        <f>'Fire Tax - Oct'!A25</f>
        <v>Cash, Balance @ 10/31/17 - per general ledger</v>
      </c>
      <c r="B20" s="30"/>
      <c r="C20" s="44">
        <f>'BS -Oct'!F15</f>
        <v>52025.69</v>
      </c>
    </row>
    <row r="21" spans="1:3" ht="15" customHeight="1">
      <c r="A21" s="27" t="s">
        <v>175</v>
      </c>
      <c r="C21" s="44"/>
    </row>
    <row r="22" spans="1:3" ht="17.25" customHeight="1">
      <c r="A22" s="27" t="s">
        <v>176</v>
      </c>
      <c r="C22" s="45"/>
    </row>
    <row r="23" spans="1:4" ht="17.25" customHeight="1">
      <c r="A23" s="27" t="str">
        <f>'Fire Tax - Oct'!A28</f>
        <v>Adjusted Cash, Balance @ 10/31/2017</v>
      </c>
      <c r="C23" s="44">
        <f>C20+C21+C22</f>
        <v>52025.69</v>
      </c>
      <c r="D23" s="10" t="s">
        <v>177</v>
      </c>
    </row>
    <row r="24" spans="1:3" ht="12.75" customHeight="1">
      <c r="A24" s="46" t="s">
        <v>163</v>
      </c>
      <c r="B24" s="35"/>
      <c r="C24" s="22"/>
    </row>
    <row r="25" spans="1:3" ht="12.75" customHeight="1">
      <c r="A25" s="27" t="s">
        <v>164</v>
      </c>
      <c r="B25" s="158">
        <f>26755.1</f>
        <v>26755.1</v>
      </c>
      <c r="C25" s="22"/>
    </row>
    <row r="26" spans="1:3" ht="12.75" customHeight="1">
      <c r="A26" s="27" t="s">
        <v>166</v>
      </c>
      <c r="B26" s="158">
        <f>B10</f>
        <v>32093.3</v>
      </c>
      <c r="C26" s="22"/>
    </row>
    <row r="27" spans="1:2" ht="12.75" customHeight="1">
      <c r="A27" s="27" t="s">
        <v>178</v>
      </c>
      <c r="B27" s="44">
        <f>-B14</f>
        <v>-6822.71</v>
      </c>
    </row>
    <row r="28" spans="1:2" ht="12.75" customHeight="1">
      <c r="A28" s="27" t="s">
        <v>168</v>
      </c>
      <c r="B28" s="44">
        <f>B25+B26+B27</f>
        <v>52025.689999999995</v>
      </c>
    </row>
    <row r="29" spans="1:2" ht="12.75" customHeight="1">
      <c r="A29" s="37" t="s">
        <v>4</v>
      </c>
      <c r="B29" s="44">
        <f>C23-B28</f>
        <v>0</v>
      </c>
    </row>
    <row r="30" ht="12.75" customHeight="1">
      <c r="A30" s="18"/>
    </row>
    <row r="31" spans="1:3" ht="12.75" customHeight="1">
      <c r="A31" s="18"/>
      <c r="C31" s="47"/>
    </row>
    <row r="32" ht="12.75" customHeight="1"/>
    <row r="33" ht="12.75" customHeight="1">
      <c r="B33" s="47"/>
    </row>
    <row r="34" ht="12.75" customHeight="1">
      <c r="B34" s="25"/>
    </row>
    <row r="35" ht="12.75" customHeight="1">
      <c r="B35" s="25"/>
    </row>
    <row r="36" ht="12.75" customHeight="1">
      <c r="B36" s="25"/>
    </row>
    <row r="37" ht="12.75" customHeight="1">
      <c r="B37" s="25"/>
    </row>
    <row r="38" spans="1:2" ht="12.75" customHeight="1">
      <c r="A38" s="18"/>
      <c r="B38" s="25"/>
    </row>
    <row r="39" spans="1:2" ht="12.75" customHeight="1">
      <c r="A39" s="18"/>
      <c r="B39" s="25"/>
    </row>
    <row r="40" spans="1:2" ht="12.75" customHeight="1">
      <c r="A40" s="18"/>
      <c r="B40" s="25"/>
    </row>
    <row r="41" ht="12.75">
      <c r="A41" s="18"/>
    </row>
    <row r="42" ht="12.75">
      <c r="A42" s="18"/>
    </row>
    <row r="43" ht="12.75">
      <c r="A43" s="18"/>
    </row>
    <row r="44" ht="12.75">
      <c r="A44" s="18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67.7109375" style="0" customWidth="1"/>
    <col min="2" max="2" width="12.140625" style="0" customWidth="1"/>
    <col min="3" max="3" width="11.7109375" style="0" customWidth="1"/>
    <col min="4" max="4" width="10.28125" style="0" customWidth="1"/>
    <col min="5" max="5" width="40.421875" style="0" customWidth="1"/>
    <col min="6" max="6" width="11.28125" style="0" customWidth="1"/>
  </cols>
  <sheetData>
    <row r="1" spans="1:2" ht="17.25">
      <c r="A1" s="221" t="s">
        <v>142</v>
      </c>
      <c r="B1" s="222"/>
    </row>
    <row r="2" spans="1:2" ht="17.25">
      <c r="A2" s="221" t="s">
        <v>179</v>
      </c>
      <c r="B2" s="222"/>
    </row>
    <row r="3" spans="1:2" ht="17.25">
      <c r="A3" s="221" t="str">
        <f>'Liquid Fuels Oct'!A3:B3</f>
        <v>Month Ended:  October 31, 2017</v>
      </c>
      <c r="B3" s="223"/>
    </row>
    <row r="5" spans="1:2" ht="12.75" customHeight="1">
      <c r="A5" s="11" t="s">
        <v>144</v>
      </c>
      <c r="B5" s="12" t="s">
        <v>145</v>
      </c>
    </row>
    <row r="6" spans="1:2" ht="17.25" customHeight="1">
      <c r="A6" s="13" t="s">
        <v>146</v>
      </c>
      <c r="B6" s="14"/>
    </row>
    <row r="7" spans="1:2" ht="12.75" customHeight="1">
      <c r="A7" s="15" t="s">
        <v>180</v>
      </c>
      <c r="B7" s="16">
        <f>'Oct 2017'!D44</f>
        <v>36035.79</v>
      </c>
    </row>
    <row r="8" spans="1:2" ht="12.75" customHeight="1">
      <c r="A8" s="15" t="s">
        <v>181</v>
      </c>
      <c r="B8" s="16">
        <f>'Oct 2017'!D45</f>
        <v>6798.82</v>
      </c>
    </row>
    <row r="9" spans="1:2" ht="12.75" customHeight="1">
      <c r="A9" s="15" t="s">
        <v>182</v>
      </c>
      <c r="B9" s="60">
        <f>0</f>
        <v>0</v>
      </c>
    </row>
    <row r="10" spans="1:2" ht="18" customHeight="1">
      <c r="A10" s="19" t="s">
        <v>153</v>
      </c>
      <c r="B10" s="20">
        <f>SUM(B7:B9)</f>
        <v>42834.61</v>
      </c>
    </row>
    <row r="11" spans="1:2" ht="12.75" customHeight="1">
      <c r="A11" s="18"/>
      <c r="B11" s="21"/>
    </row>
    <row r="12" spans="1:2" ht="12.75" customHeight="1">
      <c r="A12" s="13" t="s">
        <v>154</v>
      </c>
      <c r="B12" s="22"/>
    </row>
    <row r="13" spans="1:2" ht="12.75" customHeight="1">
      <c r="A13" s="15" t="s">
        <v>183</v>
      </c>
      <c r="B13" s="16">
        <f>'Oct 2017'!D129</f>
        <v>37245.2</v>
      </c>
    </row>
    <row r="14" spans="1:2" ht="12.75" customHeight="1">
      <c r="A14" s="15" t="s">
        <v>184</v>
      </c>
      <c r="B14" s="16">
        <f>'Oct 2017'!D130</f>
        <v>0</v>
      </c>
    </row>
    <row r="15" spans="1:2" ht="12.75" customHeight="1">
      <c r="A15" s="15" t="s">
        <v>185</v>
      </c>
      <c r="B15" s="16">
        <v>0</v>
      </c>
    </row>
    <row r="16" spans="1:5" ht="15.75" customHeight="1">
      <c r="A16" s="13" t="s">
        <v>157</v>
      </c>
      <c r="B16" s="20">
        <f>SUM(B13:B15)</f>
        <v>37245.2</v>
      </c>
      <c r="D16" s="23"/>
      <c r="E16" s="23"/>
    </row>
    <row r="17" spans="1:5" ht="18" customHeight="1">
      <c r="A17" s="13" t="s">
        <v>158</v>
      </c>
      <c r="B17" s="24">
        <f>B10-B16</f>
        <v>5589.4100000000035</v>
      </c>
      <c r="E17" s="56"/>
    </row>
    <row r="18" spans="1:4" ht="12.75" customHeight="1">
      <c r="A18" s="18"/>
      <c r="B18" s="16"/>
      <c r="D18" s="23"/>
    </row>
    <row r="19" spans="1:5" ht="12.75" customHeight="1">
      <c r="A19" s="18"/>
      <c r="B19" s="25"/>
      <c r="E19" s="23"/>
    </row>
    <row r="20" spans="1:2" ht="12.75" customHeight="1">
      <c r="A20" s="11" t="s">
        <v>186</v>
      </c>
      <c r="B20" s="25"/>
    </row>
    <row r="21" spans="1:2" ht="12.75" customHeight="1">
      <c r="A21" s="19" t="str">
        <f>'Liquid Fuels Oct'!A19</f>
        <v>Month End: October 31, 2017</v>
      </c>
      <c r="B21" s="26"/>
    </row>
    <row r="22" spans="1:3" ht="12.75" customHeight="1">
      <c r="A22" s="27" t="str">
        <f>'Fire Tax - Oct'!A25</f>
        <v>Cash, Balance @ 10/31/17 - per general ledger</v>
      </c>
      <c r="B22" s="28"/>
      <c r="C22" s="31">
        <f>'BS -Oct'!F21</f>
        <v>13806.7</v>
      </c>
    </row>
    <row r="23" spans="1:7" ht="12.75" customHeight="1">
      <c r="A23" s="27" t="s">
        <v>187</v>
      </c>
      <c r="B23" s="30"/>
      <c r="C23" s="31">
        <f>-2840.94-0.06-28.1-2.34+136.19-875-369.73-12.01-683.98+652.92-3724.52+3559.81-11.39</f>
        <v>-4199.150000000001</v>
      </c>
      <c r="G23" s="32"/>
    </row>
    <row r="24" spans="1:3" ht="12.75" customHeight="1">
      <c r="A24" s="27" t="s">
        <v>188</v>
      </c>
      <c r="B24" s="28"/>
      <c r="C24" s="33"/>
    </row>
    <row r="25" spans="1:4" ht="12.75" customHeight="1">
      <c r="A25" s="27" t="str">
        <f>'Liquid Fuels Oct'!A23</f>
        <v>Adjusted Cash, Balance @ 10/31/2017</v>
      </c>
      <c r="B25" s="30"/>
      <c r="C25" s="67">
        <f>SUM(C22:C24)</f>
        <v>9607.55</v>
      </c>
      <c r="D25" s="10"/>
    </row>
    <row r="26" spans="1:3" ht="12.75" customHeight="1">
      <c r="A26" s="27" t="s">
        <v>163</v>
      </c>
      <c r="B26" s="30"/>
      <c r="C26" s="22"/>
    </row>
    <row r="27" spans="1:3" ht="12.75" customHeight="1">
      <c r="A27" s="27" t="s">
        <v>164</v>
      </c>
      <c r="B27" s="158">
        <v>4018.14</v>
      </c>
      <c r="C27" s="22"/>
    </row>
    <row r="28" spans="1:3" ht="12.75" customHeight="1">
      <c r="A28" s="27" t="s">
        <v>189</v>
      </c>
      <c r="B28" s="48">
        <v>0</v>
      </c>
      <c r="C28" s="22"/>
    </row>
    <row r="29" spans="1:3" ht="12.75" customHeight="1">
      <c r="A29" s="27" t="s">
        <v>166</v>
      </c>
      <c r="B29" s="48">
        <f>B10</f>
        <v>42834.61</v>
      </c>
      <c r="C29" s="22"/>
    </row>
    <row r="30" spans="1:3" ht="12.75" customHeight="1">
      <c r="A30" s="27" t="s">
        <v>178</v>
      </c>
      <c r="B30" s="49">
        <f>-B16</f>
        <v>-37245.2</v>
      </c>
      <c r="C30" s="22"/>
    </row>
    <row r="31" spans="1:4" ht="12.75" customHeight="1">
      <c r="A31" s="27" t="s">
        <v>168</v>
      </c>
      <c r="B31" s="49">
        <f>B27+B28+B29+B30</f>
        <v>9607.550000000003</v>
      </c>
      <c r="C31" s="22"/>
      <c r="D31" s="32"/>
    </row>
    <row r="32" spans="1:3" ht="12.75" customHeight="1">
      <c r="A32" s="37" t="s">
        <v>4</v>
      </c>
      <c r="B32" s="66">
        <f>+C25-B31</f>
        <v>0</v>
      </c>
      <c r="C32" s="22"/>
    </row>
    <row r="33" spans="1:4" ht="12.75" customHeight="1">
      <c r="A33" s="18"/>
      <c r="B33" s="38"/>
      <c r="D33" s="29"/>
    </row>
    <row r="34" spans="1:2" ht="12.75" customHeight="1">
      <c r="A34" s="18"/>
      <c r="B34" s="25"/>
    </row>
    <row r="35" spans="1:4" ht="12.75" customHeight="1">
      <c r="A35" s="70"/>
      <c r="C35" s="47"/>
      <c r="D35" s="32"/>
    </row>
    <row r="36" ht="12.75" customHeight="1">
      <c r="A36" s="70"/>
    </row>
    <row r="37" ht="12.75" customHeight="1">
      <c r="D37" s="29"/>
    </row>
    <row r="38" ht="12.75" customHeight="1"/>
    <row r="39" ht="12.75" customHeight="1"/>
    <row r="40" ht="12.75" customHeight="1"/>
    <row r="41" spans="1:2" ht="12.75" customHeight="1">
      <c r="A41" s="18"/>
      <c r="B41" s="25"/>
    </row>
    <row r="42" spans="1:2" ht="12.75" customHeight="1">
      <c r="A42" s="18"/>
      <c r="B42" s="25"/>
    </row>
    <row r="43" spans="1:2" ht="12.75" customHeight="1">
      <c r="A43" s="18"/>
      <c r="B43" s="25"/>
    </row>
    <row r="44" spans="1:2" ht="12.75" customHeight="1">
      <c r="A44" s="18"/>
      <c r="B44" s="25"/>
    </row>
    <row r="45" spans="1:2" ht="12.75" customHeight="1">
      <c r="A45" s="18"/>
      <c r="B45" s="25"/>
    </row>
    <row r="46" spans="1:2" ht="12.75" customHeight="1">
      <c r="A46" s="18"/>
      <c r="B46" s="25"/>
    </row>
    <row r="47" spans="1:2" ht="12.75" customHeight="1">
      <c r="A47" s="18"/>
      <c r="B47" s="25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5.00390625" style="0" customWidth="1"/>
    <col min="2" max="2" width="12.140625" style="0" customWidth="1"/>
    <col min="3" max="3" width="11.7109375" style="0" customWidth="1"/>
    <col min="5" max="5" width="40.421875" style="0" customWidth="1"/>
    <col min="6" max="6" width="11.421875" style="0" customWidth="1"/>
    <col min="7" max="7" width="12.28125" style="0" customWidth="1"/>
    <col min="8" max="8" width="9.28125" style="0" customWidth="1"/>
    <col min="9" max="9" width="10.8515625" style="0" customWidth="1"/>
  </cols>
  <sheetData>
    <row r="1" spans="1:2" ht="17.25">
      <c r="A1" s="221" t="s">
        <v>142</v>
      </c>
      <c r="B1" s="222"/>
    </row>
    <row r="2" spans="1:2" ht="17.25">
      <c r="A2" s="221" t="s">
        <v>190</v>
      </c>
      <c r="B2" s="222"/>
    </row>
    <row r="3" spans="1:2" ht="17.25">
      <c r="A3" s="221" t="str">
        <f>'Liquid Fuels Oct'!A3:B3</f>
        <v>Month Ended:  October 31, 2017</v>
      </c>
      <c r="B3" s="223"/>
    </row>
    <row r="5" spans="1:2" ht="12.75" customHeight="1">
      <c r="A5" s="11" t="s">
        <v>144</v>
      </c>
      <c r="B5" s="12" t="s">
        <v>145</v>
      </c>
    </row>
    <row r="6" spans="1:2" ht="17.25" customHeight="1">
      <c r="A6" s="13" t="s">
        <v>146</v>
      </c>
      <c r="B6" s="14"/>
    </row>
    <row r="7" spans="1:2" ht="17.25" customHeight="1">
      <c r="A7" s="15" t="s">
        <v>429</v>
      </c>
      <c r="B7" s="14">
        <f>116.85+18.04</f>
        <v>134.89</v>
      </c>
    </row>
    <row r="8" spans="1:2" ht="12.75" customHeight="1">
      <c r="A8" s="15" t="s">
        <v>191</v>
      </c>
      <c r="B8" s="54">
        <f>'Oct 2017'!D52</f>
        <v>200</v>
      </c>
    </row>
    <row r="9" spans="1:2" ht="18" customHeight="1">
      <c r="A9" s="19" t="s">
        <v>153</v>
      </c>
      <c r="B9" s="20">
        <f>SUM(B7:B8)</f>
        <v>334.89</v>
      </c>
    </row>
    <row r="10" spans="1:2" ht="12.75" customHeight="1">
      <c r="A10" s="18"/>
      <c r="B10" s="21"/>
    </row>
    <row r="11" spans="1:2" ht="12.75" customHeight="1">
      <c r="A11" s="13" t="s">
        <v>154</v>
      </c>
      <c r="B11" s="22"/>
    </row>
    <row r="12" spans="1:2" ht="12.75" customHeight="1">
      <c r="A12" s="15" t="s">
        <v>192</v>
      </c>
      <c r="B12" s="16">
        <v>0</v>
      </c>
    </row>
    <row r="13" spans="1:4" ht="15.75" customHeight="1">
      <c r="A13" s="13" t="s">
        <v>157</v>
      </c>
      <c r="B13" s="20">
        <f>SUM(B12:B12)</f>
        <v>0</v>
      </c>
      <c r="D13" s="23"/>
    </row>
    <row r="14" spans="1:2" ht="18" customHeight="1">
      <c r="A14" s="13" t="s">
        <v>158</v>
      </c>
      <c r="B14" s="24">
        <f>B9-B13</f>
        <v>334.89</v>
      </c>
    </row>
    <row r="15" spans="1:2" ht="12.75" customHeight="1">
      <c r="A15" s="18"/>
      <c r="B15" s="16"/>
    </row>
    <row r="16" spans="1:2" ht="12.75" customHeight="1">
      <c r="A16" s="18"/>
      <c r="B16" s="25"/>
    </row>
    <row r="17" spans="1:2" ht="12.75" customHeight="1">
      <c r="A17" s="11" t="s">
        <v>193</v>
      </c>
      <c r="B17" s="25"/>
    </row>
    <row r="18" spans="1:2" ht="12.75" customHeight="1">
      <c r="A18" s="19" t="str">
        <f>'Solid Waste -Oct '!A21</f>
        <v>Month End: October 31, 2017</v>
      </c>
      <c r="B18" s="26"/>
    </row>
    <row r="19" spans="1:7" ht="12.75" customHeight="1">
      <c r="A19" s="27" t="str">
        <f>'Solid Waste -Oct '!A22</f>
        <v>Cash, Balance @ 10/31/17 - per general ledger</v>
      </c>
      <c r="B19" s="28"/>
      <c r="C19" s="31">
        <f>'BS -Oct'!F13</f>
        <v>26433.76</v>
      </c>
      <c r="G19" s="29"/>
    </row>
    <row r="20" spans="1:7" ht="12.75" customHeight="1">
      <c r="A20" s="27" t="s">
        <v>194</v>
      </c>
      <c r="B20" s="30"/>
      <c r="C20" s="31"/>
      <c r="G20" s="32"/>
    </row>
    <row r="21" spans="1:4" ht="12.75" customHeight="1">
      <c r="A21" s="27" t="s">
        <v>195</v>
      </c>
      <c r="B21" s="28"/>
      <c r="C21" s="33">
        <v>0</v>
      </c>
      <c r="D21" t="s">
        <v>196</v>
      </c>
    </row>
    <row r="22" spans="1:4" ht="12.75" customHeight="1">
      <c r="A22" s="27" t="str">
        <f>'Solid Waste -Oct '!A25</f>
        <v>Adjusted Cash, Balance @ 10/31/2017</v>
      </c>
      <c r="B22" s="30"/>
      <c r="C22" s="34">
        <f>SUM(C19:C21)</f>
        <v>26433.76</v>
      </c>
      <c r="D22" s="10" t="s">
        <v>197</v>
      </c>
    </row>
    <row r="23" spans="1:3" ht="12.75" customHeight="1">
      <c r="A23" s="27" t="s">
        <v>163</v>
      </c>
      <c r="B23" s="30"/>
      <c r="C23" s="22"/>
    </row>
    <row r="24" spans="1:3" ht="12.75" customHeight="1">
      <c r="A24" s="27" t="s">
        <v>164</v>
      </c>
      <c r="B24" s="31">
        <v>26098.87</v>
      </c>
      <c r="C24" s="22"/>
    </row>
    <row r="25" spans="1:9" ht="12.75" customHeight="1">
      <c r="A25" s="27" t="s">
        <v>165</v>
      </c>
      <c r="B25" s="31">
        <v>0</v>
      </c>
      <c r="C25" s="22"/>
      <c r="I25" s="32"/>
    </row>
    <row r="26" spans="1:9" ht="12.75" customHeight="1">
      <c r="A26" s="27" t="s">
        <v>428</v>
      </c>
      <c r="B26" s="31">
        <v>0</v>
      </c>
      <c r="C26" s="22"/>
      <c r="I26" s="32"/>
    </row>
    <row r="27" spans="1:9" ht="12.75" customHeight="1">
      <c r="A27" s="27" t="s">
        <v>166</v>
      </c>
      <c r="B27" s="35">
        <f>B9</f>
        <v>334.89</v>
      </c>
      <c r="C27" s="22"/>
      <c r="I27" s="32"/>
    </row>
    <row r="28" spans="1:9" ht="12.75" customHeight="1">
      <c r="A28" s="27" t="s">
        <v>167</v>
      </c>
      <c r="B28" s="36">
        <f>-B13</f>
        <v>0</v>
      </c>
      <c r="C28" s="22"/>
      <c r="G28" s="32"/>
      <c r="I28" s="32"/>
    </row>
    <row r="29" spans="1:9" ht="12.75" customHeight="1">
      <c r="A29" s="27" t="s">
        <v>168</v>
      </c>
      <c r="B29" s="20">
        <f>B24+B25+B27+B28+B26</f>
        <v>26433.76</v>
      </c>
      <c r="C29" s="22"/>
      <c r="I29" s="32"/>
    </row>
    <row r="30" spans="1:9" ht="12.75" customHeight="1">
      <c r="A30" s="37" t="s">
        <v>4</v>
      </c>
      <c r="B30" s="68">
        <f>C22-B29</f>
        <v>0</v>
      </c>
      <c r="C30" s="22"/>
      <c r="I30" s="32"/>
    </row>
    <row r="31" spans="1:9" ht="12.75" customHeight="1">
      <c r="A31" s="18"/>
      <c r="B31" s="38"/>
      <c r="F31" s="39"/>
      <c r="G31" s="39"/>
      <c r="H31" s="39"/>
      <c r="I31" s="32"/>
    </row>
    <row r="32" spans="1:9" ht="12.75" customHeight="1">
      <c r="A32" s="18"/>
      <c r="B32" s="25"/>
      <c r="I32" s="32"/>
    </row>
    <row r="33" spans="1:9" ht="12.75" customHeight="1">
      <c r="A33" s="70"/>
      <c r="I33" s="32"/>
    </row>
    <row r="34" ht="12.75" customHeight="1"/>
    <row r="35" ht="12.75" customHeight="1"/>
    <row r="36" ht="12.75" customHeight="1"/>
    <row r="37" ht="12.75" customHeight="1"/>
    <row r="38" ht="12.75" customHeight="1"/>
    <row r="39" spans="1:2" ht="12.75" customHeight="1">
      <c r="A39" s="18"/>
      <c r="B39" s="25"/>
    </row>
    <row r="40" spans="1:2" ht="12.75" customHeight="1">
      <c r="A40" s="18"/>
      <c r="B40" s="25"/>
    </row>
    <row r="41" spans="1:2" ht="12.75" customHeight="1">
      <c r="A41" s="18"/>
      <c r="B41" s="25"/>
    </row>
    <row r="42" spans="1:2" ht="12.75" customHeight="1">
      <c r="A42" s="18"/>
      <c r="B42" s="25"/>
    </row>
    <row r="43" spans="1:2" ht="12.75" customHeight="1">
      <c r="A43" s="18"/>
      <c r="B43" s="25"/>
    </row>
    <row r="44" spans="1:2" ht="12.75" customHeight="1">
      <c r="A44" s="18"/>
      <c r="B44" s="25"/>
    </row>
    <row r="45" spans="1:2" ht="12.75" customHeight="1">
      <c r="A45" s="18"/>
      <c r="B45" s="25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G19" sqref="G19"/>
    </sheetView>
  </sheetViews>
  <sheetFormatPr defaultColWidth="9.140625" defaultRowHeight="12.75"/>
  <cols>
    <col min="3" max="3" width="9.8515625" style="0" customWidth="1"/>
    <col min="5" max="5" width="2.421875" style="0" customWidth="1"/>
    <col min="6" max="6" width="15.8515625" style="72" customWidth="1"/>
    <col min="7" max="7" width="14.57421875" style="0" customWidth="1"/>
    <col min="8" max="8" width="19.28125" style="0" customWidth="1"/>
    <col min="9" max="9" width="13.28125" style="0" customWidth="1"/>
    <col min="12" max="12" width="53.140625" style="0" bestFit="1" customWidth="1"/>
  </cols>
  <sheetData>
    <row r="1" spans="2:6" s="1" customFormat="1" ht="12.75">
      <c r="B1" s="8"/>
      <c r="E1" s="9"/>
      <c r="F1" s="50"/>
    </row>
    <row r="2" spans="2:6" s="1" customFormat="1" ht="12.75">
      <c r="B2" s="8"/>
      <c r="E2" s="9"/>
      <c r="F2" s="50"/>
    </row>
    <row r="3" spans="1:8" s="6" customFormat="1" ht="15">
      <c r="A3" s="2"/>
      <c r="B3" s="3"/>
      <c r="C3" s="4" t="s">
        <v>0</v>
      </c>
      <c r="D3" s="7"/>
      <c r="E3" s="5"/>
      <c r="F3" s="51"/>
      <c r="G3" s="59"/>
      <c r="H3" s="59"/>
    </row>
    <row r="4" spans="1:8" s="6" customFormat="1" ht="15">
      <c r="A4" s="2"/>
      <c r="B4" s="7"/>
      <c r="C4" s="4" t="s">
        <v>198</v>
      </c>
      <c r="D4" s="4"/>
      <c r="E4" s="5"/>
      <c r="F4" s="51"/>
      <c r="G4" s="59"/>
      <c r="H4" s="59"/>
    </row>
    <row r="5" spans="1:8" s="6" customFormat="1" ht="15">
      <c r="A5" s="2"/>
      <c r="B5" s="7"/>
      <c r="C5" s="4" t="s">
        <v>544</v>
      </c>
      <c r="D5" s="4"/>
      <c r="E5" s="5"/>
      <c r="F5" s="51"/>
      <c r="G5" s="59"/>
      <c r="H5" s="59"/>
    </row>
    <row r="7" ht="12.75">
      <c r="F7"/>
    </row>
    <row r="8" spans="6:9" ht="12.75">
      <c r="F8" s="53" t="s">
        <v>199</v>
      </c>
      <c r="G8" s="53" t="s">
        <v>200</v>
      </c>
      <c r="H8" s="53" t="s">
        <v>201</v>
      </c>
      <c r="I8" s="53" t="s">
        <v>202</v>
      </c>
    </row>
    <row r="9" spans="2:8" ht="12.75">
      <c r="B9" s="1" t="s">
        <v>203</v>
      </c>
      <c r="C9" s="1"/>
      <c r="D9" s="1"/>
      <c r="E9" s="1"/>
      <c r="F9" s="52">
        <f>G44</f>
        <v>90471.39</v>
      </c>
      <c r="G9" s="61">
        <f>-G13-G21-G19</f>
        <v>19040.48</v>
      </c>
      <c r="H9" s="52">
        <f>F9+G9</f>
        <v>109511.87</v>
      </c>
    </row>
    <row r="10" spans="2:7" ht="12.75">
      <c r="B10" s="1"/>
      <c r="C10" s="1"/>
      <c r="D10" s="1"/>
      <c r="E10" s="1"/>
      <c r="F10" s="52"/>
      <c r="G10" s="57"/>
    </row>
    <row r="11" spans="2:8" ht="12.75">
      <c r="B11" s="1" t="s">
        <v>204</v>
      </c>
      <c r="C11" s="1"/>
      <c r="D11" s="1"/>
      <c r="E11" s="1"/>
      <c r="F11" s="52">
        <f>G46</f>
        <v>19869.09</v>
      </c>
      <c r="G11" s="57"/>
      <c r="H11" s="52">
        <f>F11+G11</f>
        <v>19869.09</v>
      </c>
    </row>
    <row r="12" spans="2:8" ht="12.75">
      <c r="B12" s="1"/>
      <c r="C12" s="1"/>
      <c r="D12" s="1"/>
      <c r="E12" s="1"/>
      <c r="F12" s="52"/>
      <c r="G12" s="57"/>
      <c r="H12" s="52"/>
    </row>
    <row r="13" spans="2:11" ht="12.75">
      <c r="B13" s="1" t="s">
        <v>427</v>
      </c>
      <c r="C13" s="1"/>
      <c r="D13" s="1"/>
      <c r="E13" s="1"/>
      <c r="F13" s="52">
        <f>G45</f>
        <v>26433.76</v>
      </c>
      <c r="G13" s="61">
        <f>'[1]Playground-Oct'!C20</f>
        <v>0</v>
      </c>
      <c r="H13" s="52">
        <f>F13+G13</f>
        <v>26433.76</v>
      </c>
      <c r="I13" s="10" t="s">
        <v>197</v>
      </c>
      <c r="K13" s="23"/>
    </row>
    <row r="14" spans="2:8" ht="12.75">
      <c r="B14" s="1"/>
      <c r="C14" s="1"/>
      <c r="D14" s="1"/>
      <c r="E14" s="1"/>
      <c r="F14" s="52"/>
      <c r="G14" s="57"/>
      <c r="H14" s="52"/>
    </row>
    <row r="15" spans="2:11" ht="12.75">
      <c r="B15" s="1" t="s">
        <v>205</v>
      </c>
      <c r="C15" s="1"/>
      <c r="D15" s="1"/>
      <c r="E15" s="1"/>
      <c r="F15" s="52">
        <f>G54</f>
        <v>52025.69</v>
      </c>
      <c r="G15" s="61"/>
      <c r="H15" s="52">
        <f>F15+G15</f>
        <v>52025.69</v>
      </c>
      <c r="I15" s="10" t="s">
        <v>177</v>
      </c>
      <c r="K15" s="23"/>
    </row>
    <row r="16" spans="2:8" ht="12.75">
      <c r="B16" s="1"/>
      <c r="C16" s="1"/>
      <c r="D16" s="1"/>
      <c r="E16" s="1"/>
      <c r="F16" s="52"/>
      <c r="G16" s="57"/>
      <c r="H16" s="52"/>
    </row>
    <row r="17" spans="2:8" ht="12.75">
      <c r="B17" s="1" t="s">
        <v>206</v>
      </c>
      <c r="C17" s="1"/>
      <c r="D17" s="1"/>
      <c r="E17" s="1"/>
      <c r="F17" s="52">
        <f>G51</f>
        <v>37136.25</v>
      </c>
      <c r="G17" s="61"/>
      <c r="H17" s="52">
        <f>F17+G17</f>
        <v>37136.25</v>
      </c>
    </row>
    <row r="18" spans="2:8" ht="12.75">
      <c r="B18" s="1"/>
      <c r="C18" s="1"/>
      <c r="D18" s="1"/>
      <c r="E18" s="1"/>
      <c r="F18" s="52"/>
      <c r="G18" s="57"/>
      <c r="H18" s="52"/>
    </row>
    <row r="19" spans="2:9" ht="12.75">
      <c r="B19" s="1" t="s">
        <v>207</v>
      </c>
      <c r="C19" s="1"/>
      <c r="D19" s="1"/>
      <c r="E19" s="1"/>
      <c r="F19" s="52">
        <f>G50</f>
        <v>3187</v>
      </c>
      <c r="G19" s="61">
        <f>'[1]Fire Tax -Oct'!C25</f>
        <v>-14089.63</v>
      </c>
      <c r="H19" s="63">
        <f>F19+G19</f>
        <v>-10902.63</v>
      </c>
      <c r="I19" s="10" t="s">
        <v>162</v>
      </c>
    </row>
    <row r="20" spans="2:8" ht="12.75">
      <c r="B20" s="1"/>
      <c r="C20" s="1"/>
      <c r="D20" s="1"/>
      <c r="E20" s="1"/>
      <c r="F20" s="52"/>
      <c r="G20" s="57"/>
      <c r="H20" s="62"/>
    </row>
    <row r="21" spans="2:9" ht="12.75">
      <c r="B21" s="1" t="s">
        <v>208</v>
      </c>
      <c r="C21" s="1"/>
      <c r="D21" s="1"/>
      <c r="E21" s="1"/>
      <c r="F21" s="50">
        <f>G52</f>
        <v>13806.7</v>
      </c>
      <c r="G21" s="61">
        <f>'[1]Solid Waste -Oct'!C27</f>
        <v>-4950.849999999999</v>
      </c>
      <c r="H21" s="61">
        <f>F21+G21</f>
        <v>8855.850000000002</v>
      </c>
      <c r="I21" s="10" t="s">
        <v>209</v>
      </c>
    </row>
    <row r="22" spans="2:8" ht="12.75">
      <c r="B22" s="1"/>
      <c r="C22" s="1"/>
      <c r="D22" s="1"/>
      <c r="E22" s="1"/>
      <c r="F22" s="52"/>
      <c r="G22" s="57"/>
      <c r="H22" s="52"/>
    </row>
    <row r="23" spans="2:8" ht="12.75">
      <c r="B23" s="1" t="s">
        <v>210</v>
      </c>
      <c r="C23" s="1"/>
      <c r="D23" s="1"/>
      <c r="E23" s="1"/>
      <c r="F23" s="160">
        <v>-0.45</v>
      </c>
      <c r="G23" s="58"/>
      <c r="H23" s="160">
        <f>F23+G23</f>
        <v>-0.45</v>
      </c>
    </row>
    <row r="24" spans="2:7" ht="12.75">
      <c r="B24" s="1"/>
      <c r="C24" s="1"/>
      <c r="D24" s="1"/>
      <c r="E24" s="1"/>
      <c r="F24" s="52"/>
      <c r="G24" s="57"/>
    </row>
    <row r="25" spans="2:8" ht="12.75">
      <c r="B25" s="1" t="s">
        <v>145</v>
      </c>
      <c r="C25" s="1"/>
      <c r="D25" s="1"/>
      <c r="E25" s="1"/>
      <c r="F25" s="64">
        <f>SUM(F9:F23)</f>
        <v>242929.43</v>
      </c>
      <c r="G25" s="64">
        <f>SUM(G9:G23)</f>
        <v>0</v>
      </c>
      <c r="H25" s="64">
        <f>SUM(H9:H24)</f>
        <v>242929.43</v>
      </c>
    </row>
    <row r="26" ht="12.75">
      <c r="F26" s="52"/>
    </row>
    <row r="27" ht="12.75">
      <c r="F27" s="52"/>
    </row>
    <row r="28" ht="12.75">
      <c r="F28" s="52"/>
    </row>
    <row r="29" ht="12.75">
      <c r="F29" s="71"/>
    </row>
    <row r="30" spans="2:3" ht="61.5" hidden="1">
      <c r="B30" s="161" t="s">
        <v>414</v>
      </c>
      <c r="C30" s="162">
        <f>144463.92</f>
        <v>144463.92</v>
      </c>
    </row>
    <row r="31" spans="2:3" ht="51" hidden="1">
      <c r="B31" s="161" t="s">
        <v>415</v>
      </c>
      <c r="C31" s="162">
        <f>26381.77</f>
        <v>26381.77</v>
      </c>
    </row>
    <row r="32" spans="2:3" ht="61.5" hidden="1">
      <c r="B32" s="161" t="s">
        <v>416</v>
      </c>
      <c r="C32" s="162">
        <f>19866.58</f>
        <v>19866.58</v>
      </c>
    </row>
    <row r="33" spans="2:3" ht="30.75" hidden="1">
      <c r="B33" s="161" t="s">
        <v>417</v>
      </c>
      <c r="C33" s="162">
        <f>0</f>
        <v>0</v>
      </c>
    </row>
    <row r="34" spans="2:3" ht="61.5" hidden="1">
      <c r="B34" s="161" t="s">
        <v>418</v>
      </c>
      <c r="C34" s="163">
        <f>(C32)+(C33)</f>
        <v>19866.58</v>
      </c>
    </row>
    <row r="35" spans="2:3" ht="30.75" hidden="1">
      <c r="B35" s="161" t="s">
        <v>419</v>
      </c>
      <c r="C35" s="162">
        <f>-0.45</f>
        <v>-0.45</v>
      </c>
    </row>
    <row r="36" spans="2:3" ht="51" hidden="1">
      <c r="B36" s="161" t="s">
        <v>420</v>
      </c>
      <c r="C36" s="162">
        <f>1942.83</f>
        <v>1942.83</v>
      </c>
    </row>
    <row r="37" spans="2:3" ht="61.5" hidden="1">
      <c r="B37" s="161" t="s">
        <v>421</v>
      </c>
      <c r="C37" s="162">
        <f>14299.74</f>
        <v>14299.74</v>
      </c>
    </row>
    <row r="38" spans="2:3" ht="61.5" hidden="1">
      <c r="B38" s="161" t="s">
        <v>422</v>
      </c>
      <c r="C38" s="162">
        <f>23941.16</f>
        <v>23941.16</v>
      </c>
    </row>
    <row r="39" spans="2:3" ht="61.5" hidden="1">
      <c r="B39" s="161" t="s">
        <v>423</v>
      </c>
      <c r="C39" s="162">
        <f>0</f>
        <v>0</v>
      </c>
    </row>
    <row r="40" spans="2:3" ht="61.5" hidden="1">
      <c r="B40" s="161" t="s">
        <v>424</v>
      </c>
      <c r="C40" s="162">
        <f>52828.63</f>
        <v>52828.63</v>
      </c>
    </row>
    <row r="41" spans="2:3" ht="41.25" hidden="1">
      <c r="B41" s="161" t="s">
        <v>425</v>
      </c>
      <c r="C41" s="162">
        <f>0</f>
        <v>0</v>
      </c>
    </row>
    <row r="42" spans="2:3" ht="30.75" hidden="1">
      <c r="B42" s="161" t="s">
        <v>426</v>
      </c>
      <c r="C42" s="163">
        <f>(((((((((C30)+(C31))+(C34))+(C35))+(C36))+(C37))+(C38))+(C39))+(C40))+(C41)</f>
        <v>283724.18</v>
      </c>
    </row>
    <row r="43" ht="12.75" hidden="1"/>
    <row r="44" spans="6:7" ht="12.75" hidden="1">
      <c r="F44" s="72" t="s">
        <v>414</v>
      </c>
      <c r="G44">
        <v>90471.39</v>
      </c>
    </row>
    <row r="45" spans="6:7" ht="12.75" hidden="1">
      <c r="F45" s="72" t="s">
        <v>415</v>
      </c>
      <c r="G45">
        <v>26433.76</v>
      </c>
    </row>
    <row r="46" spans="6:7" ht="12.75" hidden="1">
      <c r="F46" s="72" t="s">
        <v>416</v>
      </c>
      <c r="G46">
        <v>19869.09</v>
      </c>
    </row>
    <row r="47" spans="6:7" ht="12.75" hidden="1">
      <c r="F47" s="72" t="s">
        <v>417</v>
      </c>
      <c r="G47">
        <v>0</v>
      </c>
    </row>
    <row r="48" spans="6:7" ht="12.75" hidden="1">
      <c r="F48" s="72" t="s">
        <v>418</v>
      </c>
      <c r="G48">
        <v>19869.09</v>
      </c>
    </row>
    <row r="49" spans="6:7" ht="12.75" hidden="1">
      <c r="F49" s="72" t="s">
        <v>419</v>
      </c>
      <c r="G49">
        <v>-0.45</v>
      </c>
    </row>
    <row r="50" spans="6:7" ht="12.75" hidden="1">
      <c r="F50" s="72" t="s">
        <v>420</v>
      </c>
      <c r="G50">
        <v>3187</v>
      </c>
    </row>
    <row r="51" spans="6:7" ht="12.75" hidden="1">
      <c r="F51" s="72" t="s">
        <v>421</v>
      </c>
      <c r="G51">
        <v>37136.25</v>
      </c>
    </row>
    <row r="52" spans="6:7" ht="12.75" hidden="1">
      <c r="F52" s="72" t="s">
        <v>422</v>
      </c>
      <c r="G52">
        <v>13806.7</v>
      </c>
    </row>
    <row r="53" spans="6:7" ht="12.75" hidden="1">
      <c r="F53" s="72" t="s">
        <v>423</v>
      </c>
      <c r="G53">
        <v>0</v>
      </c>
    </row>
    <row r="54" spans="6:7" ht="12.75" hidden="1">
      <c r="F54" s="72" t="s">
        <v>424</v>
      </c>
      <c r="G54">
        <v>52025.69</v>
      </c>
    </row>
    <row r="55" spans="6:7" ht="12.75" hidden="1">
      <c r="F55" s="72" t="s">
        <v>425</v>
      </c>
      <c r="G55">
        <v>0</v>
      </c>
    </row>
    <row r="56" spans="6:7" ht="12.75" hidden="1">
      <c r="F56" s="72" t="s">
        <v>426</v>
      </c>
      <c r="G56">
        <v>242929.43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4"/>
  <sheetViews>
    <sheetView zoomScalePageLayoutView="0" workbookViewId="0" topLeftCell="A1">
      <selection activeCell="B256" sqref="B256"/>
    </sheetView>
  </sheetViews>
  <sheetFormatPr defaultColWidth="9.140625" defaultRowHeight="12.75"/>
  <cols>
    <col min="1" max="1" width="9.7109375" style="74" customWidth="1"/>
    <col min="2" max="2" width="42.421875" style="75" customWidth="1"/>
    <col min="3" max="3" width="12.421875" style="76" hidden="1" customWidth="1"/>
    <col min="4" max="4" width="20.421875" style="77" hidden="1" customWidth="1"/>
    <col min="5" max="5" width="35.421875" style="76" customWidth="1"/>
    <col min="6" max="6" width="18.8515625" style="76" hidden="1" customWidth="1"/>
    <col min="7" max="7" width="55.421875" style="76" hidden="1" customWidth="1"/>
    <col min="8" max="8" width="5.28125" style="75" hidden="1" customWidth="1"/>
    <col min="9" max="9" width="32.8515625" style="75" customWidth="1"/>
    <col min="10" max="16384" width="8.8515625" style="75" customWidth="1"/>
  </cols>
  <sheetData>
    <row r="1" ht="13.5" thickBot="1"/>
    <row r="2" spans="1:7" ht="12.75">
      <c r="A2" s="224" t="s">
        <v>432</v>
      </c>
      <c r="B2" s="225"/>
      <c r="C2" s="225"/>
      <c r="D2" s="225"/>
      <c r="E2" s="225"/>
      <c r="F2" s="225"/>
      <c r="G2" s="226"/>
    </row>
    <row r="3" spans="1:7" ht="13.5" thickBot="1">
      <c r="A3" s="227"/>
      <c r="B3" s="228"/>
      <c r="C3" s="228"/>
      <c r="D3" s="228"/>
      <c r="E3" s="228"/>
      <c r="F3" s="228"/>
      <c r="G3" s="229"/>
    </row>
    <row r="4" spans="1:7" ht="13.5">
      <c r="A4" s="78"/>
      <c r="B4" s="79"/>
      <c r="C4" s="80">
        <v>2016</v>
      </c>
      <c r="D4" s="81" t="s">
        <v>211</v>
      </c>
      <c r="E4" s="80">
        <v>2017</v>
      </c>
      <c r="F4" s="82" t="s">
        <v>212</v>
      </c>
      <c r="G4" s="83">
        <v>2013</v>
      </c>
    </row>
    <row r="5" spans="1:7" ht="13.5">
      <c r="A5" s="84" t="s">
        <v>213</v>
      </c>
      <c r="B5" s="85"/>
      <c r="C5" s="86" t="s">
        <v>214</v>
      </c>
      <c r="D5" s="87" t="s">
        <v>215</v>
      </c>
      <c r="E5" s="86" t="s">
        <v>216</v>
      </c>
      <c r="F5" s="86" t="s">
        <v>217</v>
      </c>
      <c r="G5" s="88" t="s">
        <v>218</v>
      </c>
    </row>
    <row r="6" spans="1:7" ht="14.25" thickBot="1">
      <c r="A6" s="89" t="s">
        <v>219</v>
      </c>
      <c r="B6" s="90" t="s">
        <v>220</v>
      </c>
      <c r="C6" s="90" t="s">
        <v>3</v>
      </c>
      <c r="D6" s="91" t="s">
        <v>221</v>
      </c>
      <c r="E6" s="90" t="s">
        <v>3</v>
      </c>
      <c r="F6" s="90" t="s">
        <v>222</v>
      </c>
      <c r="G6" s="92" t="s">
        <v>3</v>
      </c>
    </row>
    <row r="7" spans="3:7" ht="12.75">
      <c r="C7" s="93"/>
      <c r="E7" s="94"/>
      <c r="F7" s="93"/>
      <c r="G7" s="93"/>
    </row>
    <row r="8" spans="1:8" ht="12.75" hidden="1">
      <c r="A8" s="74">
        <v>130</v>
      </c>
      <c r="B8" s="74" t="s">
        <v>223</v>
      </c>
      <c r="C8" s="77"/>
      <c r="E8" s="94"/>
      <c r="F8" s="95"/>
      <c r="G8" s="93"/>
      <c r="H8" s="75" t="s">
        <v>224</v>
      </c>
    </row>
    <row r="9" spans="2:8" ht="12.75" hidden="1">
      <c r="B9" s="96" t="s">
        <v>225</v>
      </c>
      <c r="C9" s="97"/>
      <c r="D9" s="97"/>
      <c r="E9" s="98"/>
      <c r="F9" s="95" t="e">
        <f>E9-#REF!</f>
        <v>#REF!</v>
      </c>
      <c r="G9" s="93"/>
      <c r="H9" s="75" t="s">
        <v>226</v>
      </c>
    </row>
    <row r="10" spans="2:9" ht="12.75" hidden="1">
      <c r="B10" s="96" t="s">
        <v>227</v>
      </c>
      <c r="C10" s="97">
        <v>8760</v>
      </c>
      <c r="D10" s="97">
        <f>C10</f>
        <v>8760</v>
      </c>
      <c r="E10" s="99">
        <v>8760</v>
      </c>
      <c r="F10" s="95"/>
      <c r="G10" s="93"/>
      <c r="I10" s="75" t="s">
        <v>433</v>
      </c>
    </row>
    <row r="11" spans="2:7" ht="12.75" hidden="1">
      <c r="B11" s="96" t="s">
        <v>228</v>
      </c>
      <c r="C11" s="97">
        <v>6897</v>
      </c>
      <c r="D11" s="97"/>
      <c r="E11" s="99">
        <f>15186-1305</f>
        <v>13881</v>
      </c>
      <c r="F11" s="95" t="e">
        <f>E11-#REF!</f>
        <v>#REF!</v>
      </c>
      <c r="G11" s="93">
        <f>E11</f>
        <v>13881</v>
      </c>
    </row>
    <row r="12" spans="2:8" ht="12.75" hidden="1">
      <c r="B12" s="100" t="s">
        <v>229</v>
      </c>
      <c r="C12" s="97">
        <v>0</v>
      </c>
      <c r="D12" s="97"/>
      <c r="E12" s="99">
        <v>0</v>
      </c>
      <c r="F12" s="95" t="e">
        <f>E12-#REF!</f>
        <v>#REF!</v>
      </c>
      <c r="G12" s="93">
        <f>E12</f>
        <v>0</v>
      </c>
      <c r="H12" s="75" t="s">
        <v>230</v>
      </c>
    </row>
    <row r="13" spans="2:8" ht="12.75" hidden="1">
      <c r="B13" s="74"/>
      <c r="C13" s="77"/>
      <c r="E13" s="94"/>
      <c r="F13" s="95"/>
      <c r="G13" s="93"/>
      <c r="H13" s="75" t="s">
        <v>231</v>
      </c>
    </row>
    <row r="14" spans="1:8" ht="12.75" hidden="1">
      <c r="A14" s="74">
        <v>230</v>
      </c>
      <c r="B14" s="101" t="s">
        <v>232</v>
      </c>
      <c r="C14" s="97"/>
      <c r="D14" s="97"/>
      <c r="E14" s="98"/>
      <c r="F14" s="95" t="e">
        <f>E14-#REF!</f>
        <v>#REF!</v>
      </c>
      <c r="G14" s="93"/>
      <c r="H14" s="75" t="s">
        <v>233</v>
      </c>
    </row>
    <row r="15" spans="3:7" ht="12.75" hidden="1">
      <c r="C15" s="77"/>
      <c r="E15" s="94"/>
      <c r="F15" s="95"/>
      <c r="G15" s="93"/>
    </row>
    <row r="16" spans="1:7" ht="12.75" hidden="1">
      <c r="A16" s="74">
        <v>300</v>
      </c>
      <c r="B16" s="74" t="s">
        <v>234</v>
      </c>
      <c r="C16" s="77"/>
      <c r="E16" s="93"/>
      <c r="F16" s="95"/>
      <c r="G16" s="93"/>
    </row>
    <row r="17" spans="2:9" ht="12.75" hidden="1">
      <c r="B17" s="102" t="s">
        <v>235</v>
      </c>
      <c r="C17" s="97">
        <v>115489</v>
      </c>
      <c r="D17" s="97">
        <f>'[2]Profit and Loss (2)'!B7</f>
        <v>98075.53</v>
      </c>
      <c r="E17" s="103">
        <f>'[2]RE Tax Calc'!F20</f>
        <v>115514.7885818182</v>
      </c>
      <c r="F17" s="95" t="e">
        <f>E17-#REF!</f>
        <v>#REF!</v>
      </c>
      <c r="G17" s="93">
        <f>E17</f>
        <v>115514.7885818182</v>
      </c>
      <c r="I17" s="75" t="s">
        <v>434</v>
      </c>
    </row>
    <row r="18" spans="2:7" ht="12.75" hidden="1">
      <c r="B18" s="102" t="s">
        <v>236</v>
      </c>
      <c r="C18" s="97">
        <v>0</v>
      </c>
      <c r="D18" s="97">
        <f>'[2]Profit and Loss (2)'!B37</f>
        <v>-1430.36</v>
      </c>
      <c r="E18" s="104">
        <v>0</v>
      </c>
      <c r="F18" s="95"/>
      <c r="G18" s="93"/>
    </row>
    <row r="19" spans="2:9" ht="12.75" hidden="1">
      <c r="B19" s="102" t="s">
        <v>237</v>
      </c>
      <c r="C19" s="97">
        <v>9058</v>
      </c>
      <c r="D19" s="97">
        <f>'[2]Profit and Loss (2)'!B33</f>
        <v>9169.87</v>
      </c>
      <c r="E19" s="103">
        <f>'[2]RE Tax Calc'!F22</f>
        <v>9059.983418181819</v>
      </c>
      <c r="F19" s="95" t="e">
        <f>E19-#REF!</f>
        <v>#REF!</v>
      </c>
      <c r="G19" s="93">
        <f>E19</f>
        <v>9059.983418181819</v>
      </c>
      <c r="I19" s="75" t="s">
        <v>434</v>
      </c>
    </row>
    <row r="20" spans="2:7" ht="12.75" hidden="1">
      <c r="B20" s="102" t="s">
        <v>238</v>
      </c>
      <c r="C20" s="97">
        <v>0</v>
      </c>
      <c r="D20" s="97">
        <f>'[2]Profit and Loss (2)'!B38</f>
        <v>-124.37</v>
      </c>
      <c r="E20" s="104">
        <v>0</v>
      </c>
      <c r="F20" s="95"/>
      <c r="G20" s="93"/>
    </row>
    <row r="21" spans="2:7" ht="12.75" hidden="1">
      <c r="B21" s="102" t="s">
        <v>10</v>
      </c>
      <c r="C21" s="97"/>
      <c r="D21" s="97">
        <f>'[2]Profit and Loss (2)'!B17+'[2]Profit and Loss (2)'!B18</f>
        <v>176.70999999999998</v>
      </c>
      <c r="E21" s="104"/>
      <c r="F21" s="95"/>
      <c r="G21" s="93"/>
    </row>
    <row r="22" spans="2:7" ht="12.75" hidden="1">
      <c r="B22" s="102" t="s">
        <v>435</v>
      </c>
      <c r="C22" s="97">
        <v>0</v>
      </c>
      <c r="D22" s="97">
        <f>'[2]Profit and Loss (2)'!B8</f>
        <v>1694.87</v>
      </c>
      <c r="E22" s="104">
        <v>0</v>
      </c>
      <c r="F22" s="95" t="e">
        <f>E22-#REF!</f>
        <v>#REF!</v>
      </c>
      <c r="G22" s="93"/>
    </row>
    <row r="23" spans="2:7" ht="12.75" hidden="1">
      <c r="B23" s="102" t="s">
        <v>436</v>
      </c>
      <c r="C23" s="97"/>
      <c r="D23" s="97">
        <f>'[2]Profit and Loss (2)'!B34</f>
        <v>400.2</v>
      </c>
      <c r="E23" s="104"/>
      <c r="F23" s="95"/>
      <c r="G23" s="93"/>
    </row>
    <row r="24" spans="2:7" ht="12.75" hidden="1">
      <c r="B24" s="102" t="s">
        <v>7</v>
      </c>
      <c r="C24" s="97">
        <v>0</v>
      </c>
      <c r="D24" s="97"/>
      <c r="E24" s="104">
        <v>0</v>
      </c>
      <c r="F24" s="95" t="e">
        <f>E24-#REF!</f>
        <v>#REF!</v>
      </c>
      <c r="G24" s="93"/>
    </row>
    <row r="25" spans="2:7" ht="12.75" hidden="1">
      <c r="B25" s="102" t="s">
        <v>16</v>
      </c>
      <c r="C25" s="97">
        <v>7500</v>
      </c>
      <c r="D25" s="97">
        <f>'[2]Profit and Loss (2)'!B9</f>
        <v>9078.8</v>
      </c>
      <c r="E25" s="97">
        <v>7500</v>
      </c>
      <c r="F25" s="95"/>
      <c r="G25" s="93"/>
    </row>
    <row r="26" spans="2:7" ht="12.75" hidden="1">
      <c r="B26" s="102" t="s">
        <v>437</v>
      </c>
      <c r="C26" s="97">
        <v>0</v>
      </c>
      <c r="D26" s="97">
        <f>'[2]Profit and Loss (2)'!B45</f>
        <v>808.51</v>
      </c>
      <c r="E26" s="97">
        <v>500</v>
      </c>
      <c r="F26" s="95" t="e">
        <f>E26-#REF!</f>
        <v>#REF!</v>
      </c>
      <c r="G26" s="93">
        <f>E26</f>
        <v>500</v>
      </c>
    </row>
    <row r="27" spans="2:7" ht="12.75" hidden="1">
      <c r="B27" s="75" t="s">
        <v>239</v>
      </c>
      <c r="C27" s="77"/>
      <c r="E27" s="77"/>
      <c r="F27" s="95" t="e">
        <f>E27-#REF!</f>
        <v>#REF!</v>
      </c>
      <c r="G27" s="93"/>
    </row>
    <row r="28" spans="2:7" ht="12.75" hidden="1">
      <c r="B28" s="75" t="s">
        <v>10</v>
      </c>
      <c r="C28" s="77"/>
      <c r="E28" s="77"/>
      <c r="F28" s="95" t="e">
        <f>E28-#REF!</f>
        <v>#REF!</v>
      </c>
      <c r="G28" s="93"/>
    </row>
    <row r="29" spans="3:7" ht="12.75" hidden="1">
      <c r="C29" s="77"/>
      <c r="E29" s="77"/>
      <c r="F29" s="95"/>
      <c r="G29" s="93"/>
    </row>
    <row r="30" spans="1:7" ht="12.75" hidden="1">
      <c r="A30" s="74">
        <v>305</v>
      </c>
      <c r="B30" s="74" t="s">
        <v>240</v>
      </c>
      <c r="C30" s="77"/>
      <c r="E30" s="77"/>
      <c r="F30" s="95"/>
      <c r="G30" s="93"/>
    </row>
    <row r="31" spans="2:7" ht="12.75" hidden="1">
      <c r="B31" s="102" t="s">
        <v>241</v>
      </c>
      <c r="C31" s="97">
        <v>600</v>
      </c>
      <c r="D31" s="97">
        <f>'[2]Profit and Loss (2)'!B10</f>
        <v>540</v>
      </c>
      <c r="E31" s="97">
        <v>600</v>
      </c>
      <c r="F31" s="95" t="e">
        <f>E31-#REF!</f>
        <v>#REF!</v>
      </c>
      <c r="G31" s="93">
        <f>E31</f>
        <v>600</v>
      </c>
    </row>
    <row r="32" spans="2:7" ht="12.75" hidden="1">
      <c r="B32" s="102" t="s">
        <v>242</v>
      </c>
      <c r="C32" s="97"/>
      <c r="D32" s="97">
        <f>'[2]Profit and Loss (2)'!B39</f>
        <v>1.3</v>
      </c>
      <c r="E32" s="104"/>
      <c r="F32" s="95"/>
      <c r="G32" s="93"/>
    </row>
    <row r="33" spans="2:7" ht="12.75" hidden="1">
      <c r="B33" s="102" t="s">
        <v>438</v>
      </c>
      <c r="C33" s="97">
        <f>'[2]Profit and Loss (2)'!B19</f>
        <v>2</v>
      </c>
      <c r="D33" s="97"/>
      <c r="E33" s="104"/>
      <c r="F33" s="95"/>
      <c r="G33" s="93"/>
    </row>
    <row r="34" spans="2:7" ht="12.75" hidden="1">
      <c r="B34" s="102" t="s">
        <v>439</v>
      </c>
      <c r="C34" s="97"/>
      <c r="D34" s="97">
        <f>'[2]Profit and Loss (2)'!B42</f>
        <v>280.5</v>
      </c>
      <c r="E34" s="104"/>
      <c r="F34" s="95"/>
      <c r="G34" s="93"/>
    </row>
    <row r="35" spans="2:7" ht="12.75" hidden="1">
      <c r="B35" s="102" t="s">
        <v>243</v>
      </c>
      <c r="C35" s="97">
        <v>0</v>
      </c>
      <c r="D35" s="97">
        <f>'[2]Profit and Loss (2)'!B11</f>
        <v>20</v>
      </c>
      <c r="E35" s="104">
        <v>0</v>
      </c>
      <c r="F35" s="95" t="e">
        <f>E35-#REF!</f>
        <v>#REF!</v>
      </c>
      <c r="G35" s="93"/>
    </row>
    <row r="36" spans="3:7" ht="12.75" hidden="1">
      <c r="C36" s="77"/>
      <c r="E36" s="77"/>
      <c r="F36" s="95"/>
      <c r="G36" s="93"/>
    </row>
    <row r="37" spans="3:7" ht="12.75" hidden="1">
      <c r="C37" s="77"/>
      <c r="E37" s="77"/>
      <c r="F37" s="95"/>
      <c r="G37" s="93"/>
    </row>
    <row r="38" spans="1:7" ht="12.75" hidden="1">
      <c r="A38" s="74">
        <v>310</v>
      </c>
      <c r="B38" s="74" t="s">
        <v>244</v>
      </c>
      <c r="C38" s="77"/>
      <c r="E38" s="77"/>
      <c r="F38" s="95"/>
      <c r="G38" s="93"/>
    </row>
    <row r="39" spans="2:7" ht="12.75" hidden="1">
      <c r="B39" s="102" t="s">
        <v>24</v>
      </c>
      <c r="C39" s="97">
        <v>1000</v>
      </c>
      <c r="D39" s="97">
        <f>'[2]Profit and Loss (2)'!B12</f>
        <v>880</v>
      </c>
      <c r="E39" s="97">
        <v>1000</v>
      </c>
      <c r="F39" s="95" t="e">
        <f>E39-#REF!</f>
        <v>#REF!</v>
      </c>
      <c r="G39" s="93">
        <f aca="true" t="shared" si="0" ref="G39:G49">E39</f>
        <v>1000</v>
      </c>
    </row>
    <row r="40" spans="2:7" ht="12.75" hidden="1">
      <c r="B40" s="102" t="s">
        <v>245</v>
      </c>
      <c r="C40" s="97">
        <v>0</v>
      </c>
      <c r="D40" s="97"/>
      <c r="E40" s="97">
        <v>0</v>
      </c>
      <c r="F40" s="95" t="e">
        <f>E40-#REF!</f>
        <v>#REF!</v>
      </c>
      <c r="G40" s="93">
        <f t="shared" si="0"/>
        <v>0</v>
      </c>
    </row>
    <row r="41" spans="2:7" ht="12.75" hidden="1">
      <c r="B41" s="102" t="s">
        <v>246</v>
      </c>
      <c r="C41" s="97"/>
      <c r="D41" s="97">
        <f>'[2]Profit and Loss (2)'!B40</f>
        <v>-15.6</v>
      </c>
      <c r="E41" s="104"/>
      <c r="F41" s="95"/>
      <c r="G41" s="93"/>
    </row>
    <row r="42" spans="2:7" ht="12.75" hidden="1">
      <c r="B42" s="102" t="s">
        <v>247</v>
      </c>
      <c r="C42" s="97">
        <v>100</v>
      </c>
      <c r="D42" s="97">
        <f>'[2]Profit and Loss (2)'!B44</f>
        <v>284.8</v>
      </c>
      <c r="E42" s="97">
        <v>100</v>
      </c>
      <c r="F42" s="95" t="e">
        <f>E42-#REF!</f>
        <v>#REF!</v>
      </c>
      <c r="G42" s="93">
        <f t="shared" si="0"/>
        <v>100</v>
      </c>
    </row>
    <row r="43" spans="2:7" ht="12.75" hidden="1">
      <c r="B43" s="102" t="s">
        <v>248</v>
      </c>
      <c r="C43" s="97">
        <v>0</v>
      </c>
      <c r="D43" s="97"/>
      <c r="E43" s="97">
        <v>0</v>
      </c>
      <c r="F43" s="95" t="e">
        <f>E43-#REF!</f>
        <v>#REF!</v>
      </c>
      <c r="G43" s="93">
        <f t="shared" si="0"/>
        <v>0</v>
      </c>
    </row>
    <row r="44" spans="2:7" ht="12.75" hidden="1">
      <c r="B44" s="102" t="s">
        <v>245</v>
      </c>
      <c r="C44" s="97"/>
      <c r="D44" s="97">
        <f>'[2]Profit and Loss (2)'!B13</f>
        <v>35</v>
      </c>
      <c r="E44" s="97"/>
      <c r="F44" s="95"/>
      <c r="G44" s="93"/>
    </row>
    <row r="45" spans="2:7" ht="12.75" hidden="1">
      <c r="B45" s="102" t="s">
        <v>440</v>
      </c>
      <c r="C45" s="97"/>
      <c r="D45" s="97">
        <f>'[2]Profit and Loss (2)'!B20</f>
        <v>3.5</v>
      </c>
      <c r="E45" s="97"/>
      <c r="F45" s="95"/>
      <c r="G45" s="93"/>
    </row>
    <row r="46" spans="2:7" ht="12.75" hidden="1">
      <c r="B46" s="102" t="s">
        <v>29</v>
      </c>
      <c r="C46" s="97">
        <v>1000</v>
      </c>
      <c r="D46" s="97">
        <f>'[2]Profit and Loss (2)'!B14</f>
        <v>11677.68</v>
      </c>
      <c r="E46" s="97">
        <v>1000</v>
      </c>
      <c r="F46" s="95" t="e">
        <f>E46-#REF!</f>
        <v>#REF!</v>
      </c>
      <c r="G46" s="93">
        <f t="shared" si="0"/>
        <v>1000</v>
      </c>
    </row>
    <row r="47" spans="2:7" ht="12.75" hidden="1">
      <c r="B47" s="102" t="s">
        <v>249</v>
      </c>
      <c r="C47" s="97">
        <v>30000</v>
      </c>
      <c r="D47" s="97">
        <f>'[2]Profit and Loss (2)'!B15</f>
        <v>29724.05</v>
      </c>
      <c r="E47" s="97">
        <v>30000</v>
      </c>
      <c r="F47" s="95" t="e">
        <f>E47-#REF!</f>
        <v>#REF!</v>
      </c>
      <c r="G47" s="93">
        <f t="shared" si="0"/>
        <v>30000</v>
      </c>
    </row>
    <row r="48" spans="2:7" ht="12.75" hidden="1">
      <c r="B48" s="102" t="s">
        <v>250</v>
      </c>
      <c r="C48" s="97">
        <v>0</v>
      </c>
      <c r="D48" s="97"/>
      <c r="E48" s="97">
        <v>0</v>
      </c>
      <c r="F48" s="95" t="e">
        <f>E48-#REF!</f>
        <v>#REF!</v>
      </c>
      <c r="G48" s="93">
        <f t="shared" si="0"/>
        <v>0</v>
      </c>
    </row>
    <row r="49" spans="2:7" ht="12.75" hidden="1">
      <c r="B49" s="102" t="s">
        <v>251</v>
      </c>
      <c r="C49" s="97">
        <v>1000</v>
      </c>
      <c r="D49" s="97">
        <f>'[2]Profit and Loss (2)'!B16</f>
        <v>1420.8</v>
      </c>
      <c r="E49" s="97">
        <v>1000</v>
      </c>
      <c r="F49" s="95" t="e">
        <f>E49-#REF!</f>
        <v>#REF!</v>
      </c>
      <c r="G49" s="93">
        <f t="shared" si="0"/>
        <v>1000</v>
      </c>
    </row>
    <row r="50" spans="3:7" ht="12.75" hidden="1">
      <c r="C50" s="77"/>
      <c r="E50" s="77"/>
      <c r="F50" s="95"/>
      <c r="G50" s="93"/>
    </row>
    <row r="51" spans="1:7" ht="12.75" hidden="1">
      <c r="A51" s="74">
        <v>321</v>
      </c>
      <c r="B51" s="74" t="s">
        <v>252</v>
      </c>
      <c r="C51" s="77"/>
      <c r="E51" s="77"/>
      <c r="F51" s="95" t="e">
        <f>E51-#REF!</f>
        <v>#REF!</v>
      </c>
      <c r="G51" s="93"/>
    </row>
    <row r="52" spans="3:7" ht="12.75" hidden="1">
      <c r="C52" s="77"/>
      <c r="E52" s="77"/>
      <c r="F52" s="95"/>
      <c r="G52" s="93"/>
    </row>
    <row r="53" spans="1:7" ht="12.75" hidden="1">
      <c r="A53" s="74">
        <v>331</v>
      </c>
      <c r="B53" s="74" t="s">
        <v>253</v>
      </c>
      <c r="C53" s="77"/>
      <c r="E53" s="77"/>
      <c r="F53" s="95"/>
      <c r="G53" s="93"/>
    </row>
    <row r="54" spans="2:7" ht="12.75" hidden="1">
      <c r="B54" s="102" t="s">
        <v>254</v>
      </c>
      <c r="C54" s="97">
        <v>0</v>
      </c>
      <c r="D54" s="97"/>
      <c r="E54" s="104">
        <v>0</v>
      </c>
      <c r="F54" s="95" t="e">
        <f>E54-#REF!</f>
        <v>#REF!</v>
      </c>
      <c r="G54" s="93">
        <f>E54</f>
        <v>0</v>
      </c>
    </row>
    <row r="55" spans="2:7" ht="12.75" hidden="1">
      <c r="B55" s="96" t="s">
        <v>255</v>
      </c>
      <c r="C55" s="97">
        <v>0</v>
      </c>
      <c r="D55" s="97"/>
      <c r="E55" s="104">
        <v>0</v>
      </c>
      <c r="F55" s="95" t="e">
        <f>E55-#REF!</f>
        <v>#REF!</v>
      </c>
      <c r="G55" s="93">
        <f>E55</f>
        <v>0</v>
      </c>
    </row>
    <row r="56" spans="2:7" ht="12.75" hidden="1">
      <c r="B56" s="102" t="s">
        <v>34</v>
      </c>
      <c r="C56" s="97">
        <v>200</v>
      </c>
      <c r="D56" s="97">
        <f>'[2]Profit and Loss (2)'!B22</f>
        <v>144.57</v>
      </c>
      <c r="E56" s="97">
        <v>200</v>
      </c>
      <c r="F56" s="95" t="e">
        <f>E56-#REF!</f>
        <v>#REF!</v>
      </c>
      <c r="G56" s="93">
        <f>E56</f>
        <v>200</v>
      </c>
    </row>
    <row r="57" spans="3:7" ht="12.75" hidden="1">
      <c r="C57" s="77"/>
      <c r="E57" s="77"/>
      <c r="F57" s="95"/>
      <c r="G57" s="93"/>
    </row>
    <row r="58" spans="1:7" ht="12.75" hidden="1">
      <c r="A58" s="74">
        <v>341</v>
      </c>
      <c r="B58" s="101" t="s">
        <v>36</v>
      </c>
      <c r="C58" s="97">
        <v>30</v>
      </c>
      <c r="D58" s="97">
        <f>'[2]Profit and Loss (2)'!B23</f>
        <v>96.25</v>
      </c>
      <c r="E58" s="97">
        <v>30</v>
      </c>
      <c r="F58" s="95" t="e">
        <f>E58-#REF!</f>
        <v>#REF!</v>
      </c>
      <c r="G58" s="93">
        <f>E58</f>
        <v>30</v>
      </c>
    </row>
    <row r="59" spans="2:7" ht="12.75" hidden="1">
      <c r="B59" s="74"/>
      <c r="C59" s="77"/>
      <c r="E59" s="77"/>
      <c r="F59" s="95"/>
      <c r="G59" s="93"/>
    </row>
    <row r="60" spans="1:7" ht="12.75" hidden="1">
      <c r="A60" s="74">
        <v>342</v>
      </c>
      <c r="B60" s="101" t="s">
        <v>256</v>
      </c>
      <c r="C60" s="97">
        <v>12</v>
      </c>
      <c r="D60" s="97">
        <f>'[2]Profit and Loss (2)'!B26</f>
        <v>12</v>
      </c>
      <c r="E60" s="97">
        <v>12</v>
      </c>
      <c r="F60" s="95" t="e">
        <f>E60-#REF!</f>
        <v>#REF!</v>
      </c>
      <c r="G60" s="93">
        <f>E60</f>
        <v>12</v>
      </c>
    </row>
    <row r="61" spans="3:7" ht="12.75" hidden="1">
      <c r="C61" s="77"/>
      <c r="E61" s="77"/>
      <c r="F61" s="95"/>
      <c r="G61" s="93"/>
    </row>
    <row r="62" spans="1:7" ht="12.75" hidden="1">
      <c r="A62" s="74">
        <v>355</v>
      </c>
      <c r="B62" s="74" t="s">
        <v>257</v>
      </c>
      <c r="C62" s="77"/>
      <c r="E62" s="77"/>
      <c r="F62" s="95"/>
      <c r="G62" s="93"/>
    </row>
    <row r="63" spans="2:7" ht="12.75" hidden="1">
      <c r="B63" s="102" t="s">
        <v>38</v>
      </c>
      <c r="C63" s="97">
        <v>200</v>
      </c>
      <c r="D63" s="97">
        <f>'[2]Profit and Loss (2)'!B27</f>
        <v>201.36</v>
      </c>
      <c r="E63" s="97">
        <v>200</v>
      </c>
      <c r="F63" s="95" t="e">
        <f>E63-#REF!</f>
        <v>#REF!</v>
      </c>
      <c r="G63" s="93">
        <f>E63</f>
        <v>200</v>
      </c>
    </row>
    <row r="64" spans="2:7" ht="12.75" hidden="1">
      <c r="B64" s="96" t="s">
        <v>258</v>
      </c>
      <c r="C64" s="97">
        <v>150</v>
      </c>
      <c r="D64" s="97">
        <f>'[2]Profit and Loss (2)'!B28-150</f>
        <v>150</v>
      </c>
      <c r="E64" s="97">
        <v>150</v>
      </c>
      <c r="F64" s="95" t="e">
        <f>E64-#REF!</f>
        <v>#REF!</v>
      </c>
      <c r="G64" s="93">
        <f>E64</f>
        <v>150</v>
      </c>
    </row>
    <row r="65" spans="3:7" ht="12.75" hidden="1">
      <c r="C65" s="77"/>
      <c r="E65" s="77"/>
      <c r="F65" s="95"/>
      <c r="G65" s="93"/>
    </row>
    <row r="66" spans="1:7" ht="12.75" hidden="1">
      <c r="A66" s="74">
        <v>361</v>
      </c>
      <c r="B66" s="74" t="s">
        <v>259</v>
      </c>
      <c r="C66" s="77"/>
      <c r="E66" s="77"/>
      <c r="F66" s="95"/>
      <c r="G66" s="93"/>
    </row>
    <row r="67" spans="2:7" ht="12.75" hidden="1">
      <c r="B67" s="102" t="s">
        <v>260</v>
      </c>
      <c r="C67" s="97">
        <v>250</v>
      </c>
      <c r="D67" s="97">
        <f>'[2]Profit and Loss (2)'!B30</f>
        <v>1126</v>
      </c>
      <c r="E67" s="97">
        <v>250</v>
      </c>
      <c r="F67" s="95" t="e">
        <f>E67-#REF!</f>
        <v>#REF!</v>
      </c>
      <c r="G67" s="93">
        <f aca="true" t="shared" si="1" ref="G67:G74">E67</f>
        <v>250</v>
      </c>
    </row>
    <row r="68" spans="2:7" ht="12.75" hidden="1">
      <c r="B68" s="102" t="s">
        <v>261</v>
      </c>
      <c r="C68" s="97">
        <v>0</v>
      </c>
      <c r="D68" s="97"/>
      <c r="E68" s="97">
        <v>0</v>
      </c>
      <c r="F68" s="95"/>
      <c r="G68" s="93">
        <f t="shared" si="1"/>
        <v>0</v>
      </c>
    </row>
    <row r="69" spans="2:7" ht="12.75" hidden="1">
      <c r="B69" s="102" t="s">
        <v>262</v>
      </c>
      <c r="C69" s="97">
        <v>0</v>
      </c>
      <c r="D69" s="97"/>
      <c r="E69" s="97">
        <v>0</v>
      </c>
      <c r="F69" s="95" t="e">
        <f>E69-#REF!</f>
        <v>#REF!</v>
      </c>
      <c r="G69" s="93">
        <f t="shared" si="1"/>
        <v>0</v>
      </c>
    </row>
    <row r="70" spans="2:7" ht="12.75" hidden="1">
      <c r="B70" s="102" t="s">
        <v>263</v>
      </c>
      <c r="C70" s="104">
        <v>0</v>
      </c>
      <c r="D70" s="97"/>
      <c r="E70" s="104">
        <v>0</v>
      </c>
      <c r="F70" s="95" t="e">
        <f>E70-#REF!</f>
        <v>#REF!</v>
      </c>
      <c r="G70" s="93">
        <f t="shared" si="1"/>
        <v>0</v>
      </c>
    </row>
    <row r="71" spans="2:7" ht="12.75" hidden="1">
      <c r="B71" s="102" t="s">
        <v>44</v>
      </c>
      <c r="C71" s="104">
        <v>0</v>
      </c>
      <c r="D71" s="97"/>
      <c r="E71" s="104">
        <v>0</v>
      </c>
      <c r="F71" s="95" t="e">
        <f>E71-#REF!</f>
        <v>#REF!</v>
      </c>
      <c r="G71" s="93">
        <f t="shared" si="1"/>
        <v>0</v>
      </c>
    </row>
    <row r="72" spans="2:7" ht="12.75" hidden="1">
      <c r="B72" s="102" t="s">
        <v>264</v>
      </c>
      <c r="C72" s="97">
        <v>250</v>
      </c>
      <c r="D72" s="97">
        <v>0</v>
      </c>
      <c r="E72" s="97">
        <v>250</v>
      </c>
      <c r="F72" s="95"/>
      <c r="G72" s="93">
        <f t="shared" si="1"/>
        <v>250</v>
      </c>
    </row>
    <row r="73" spans="2:7" ht="12.75" hidden="1">
      <c r="B73" s="102" t="s">
        <v>261</v>
      </c>
      <c r="C73" s="97">
        <v>250</v>
      </c>
      <c r="D73" s="97">
        <f>'[2]Profit and Loss (2)'!B31</f>
        <v>900</v>
      </c>
      <c r="E73" s="97">
        <v>250</v>
      </c>
      <c r="F73" s="95"/>
      <c r="G73" s="93">
        <f t="shared" si="1"/>
        <v>250</v>
      </c>
    </row>
    <row r="74" spans="2:7" ht="12.75" hidden="1">
      <c r="B74" s="102" t="s">
        <v>265</v>
      </c>
      <c r="C74" s="97">
        <v>0</v>
      </c>
      <c r="D74" s="97">
        <f>'[2]Profit and Loss (2)'!B21</f>
        <v>5</v>
      </c>
      <c r="E74" s="97">
        <v>0</v>
      </c>
      <c r="F74" s="95" t="e">
        <f>E74-#REF!</f>
        <v>#REF!</v>
      </c>
      <c r="G74" s="93">
        <f t="shared" si="1"/>
        <v>0</v>
      </c>
    </row>
    <row r="75" spans="3:7" ht="12.75" hidden="1">
      <c r="C75" s="77"/>
      <c r="E75" s="77"/>
      <c r="F75" s="95"/>
      <c r="G75" s="93"/>
    </row>
    <row r="76" spans="1:7" ht="12.75" hidden="1">
      <c r="A76" s="74">
        <v>364</v>
      </c>
      <c r="B76" s="74" t="s">
        <v>266</v>
      </c>
      <c r="C76" s="77"/>
      <c r="E76" s="77"/>
      <c r="F76" s="95"/>
      <c r="G76" s="93"/>
    </row>
    <row r="77" spans="2:9" ht="12.75" hidden="1">
      <c r="B77" s="96" t="s">
        <v>267</v>
      </c>
      <c r="C77" s="97">
        <v>45000</v>
      </c>
      <c r="D77" s="97">
        <f>'[2]Profit and Loss (2)'!B35+'[2]Profit and Loss (2)'!B43</f>
        <v>37047.96</v>
      </c>
      <c r="E77" s="103">
        <f>225*200</f>
        <v>45000</v>
      </c>
      <c r="F77" s="95" t="e">
        <f>E77-#REF!</f>
        <v>#REF!</v>
      </c>
      <c r="G77" s="93">
        <f>E77</f>
        <v>45000</v>
      </c>
      <c r="I77" s="105"/>
    </row>
    <row r="78" spans="2:7" ht="12.75" hidden="1">
      <c r="B78" s="96" t="s">
        <v>268</v>
      </c>
      <c r="C78" s="97">
        <v>1000</v>
      </c>
      <c r="D78" s="97">
        <f>'[2]Profit and Loss (2)'!B36</f>
        <v>3209.1</v>
      </c>
      <c r="E78" s="106">
        <v>1000</v>
      </c>
      <c r="F78" s="95" t="e">
        <f>E78-#REF!</f>
        <v>#REF!</v>
      </c>
      <c r="G78" s="93">
        <f>E78</f>
        <v>1000</v>
      </c>
    </row>
    <row r="79" spans="3:7" ht="12.75" hidden="1">
      <c r="C79" s="77"/>
      <c r="E79" s="77"/>
      <c r="F79" s="95"/>
      <c r="G79" s="93"/>
    </row>
    <row r="80" spans="1:7" ht="12.75" hidden="1">
      <c r="A80" s="74">
        <v>387</v>
      </c>
      <c r="B80" s="74" t="s">
        <v>269</v>
      </c>
      <c r="C80" s="77"/>
      <c r="E80" s="77"/>
      <c r="F80" s="95"/>
      <c r="G80" s="93"/>
    </row>
    <row r="81" spans="2:7" ht="12.75" hidden="1">
      <c r="B81" s="102" t="s">
        <v>270</v>
      </c>
      <c r="C81" s="97">
        <v>100</v>
      </c>
      <c r="D81" s="97">
        <f>'[2]Profit and Loss (2)'!B32</f>
        <v>200</v>
      </c>
      <c r="E81" s="97">
        <v>100</v>
      </c>
      <c r="F81" s="95"/>
      <c r="G81" s="93"/>
    </row>
    <row r="82" spans="3:7" ht="12.75" hidden="1">
      <c r="C82" s="77"/>
      <c r="E82" s="77"/>
      <c r="F82" s="95"/>
      <c r="G82" s="93"/>
    </row>
    <row r="83" spans="1:7" ht="12.75" hidden="1">
      <c r="A83" s="74">
        <v>389</v>
      </c>
      <c r="B83" s="74" t="s">
        <v>48</v>
      </c>
      <c r="C83" s="77"/>
      <c r="E83" s="77"/>
      <c r="F83" s="95"/>
      <c r="G83" s="93"/>
    </row>
    <row r="84" spans="2:7" ht="12.75" hidden="1">
      <c r="B84" s="102" t="s">
        <v>271</v>
      </c>
      <c r="C84" s="97">
        <v>150</v>
      </c>
      <c r="D84" s="97">
        <f>'[2]Profit and Loss (2)'!B43</f>
        <v>478.18</v>
      </c>
      <c r="E84" s="97">
        <v>150</v>
      </c>
      <c r="F84" s="95" t="e">
        <f>E84-#REF!</f>
        <v>#REF!</v>
      </c>
      <c r="G84" s="93">
        <f>E84</f>
        <v>150</v>
      </c>
    </row>
    <row r="85" spans="2:7" ht="12.75" hidden="1">
      <c r="B85" s="102" t="s">
        <v>272</v>
      </c>
      <c r="C85" s="97"/>
      <c r="D85" s="97"/>
      <c r="E85" s="104"/>
      <c r="F85" s="95" t="e">
        <f>E85-#REF!</f>
        <v>#REF!</v>
      </c>
      <c r="G85" s="93">
        <f>E85</f>
        <v>0</v>
      </c>
    </row>
    <row r="86" spans="2:7" ht="12.75" hidden="1">
      <c r="B86" s="102" t="s">
        <v>273</v>
      </c>
      <c r="C86" s="97"/>
      <c r="D86" s="97"/>
      <c r="E86" s="104"/>
      <c r="F86" s="95" t="e">
        <f>E86-#REF!</f>
        <v>#REF!</v>
      </c>
      <c r="G86" s="93">
        <f>E86</f>
        <v>0</v>
      </c>
    </row>
    <row r="87" spans="3:7" ht="12.75" hidden="1">
      <c r="C87" s="77"/>
      <c r="E87" s="77"/>
      <c r="F87" s="95"/>
      <c r="G87" s="93"/>
    </row>
    <row r="88" spans="1:7" ht="12.75" hidden="1">
      <c r="A88" s="74">
        <v>395</v>
      </c>
      <c r="B88" s="101" t="s">
        <v>274</v>
      </c>
      <c r="C88" s="97"/>
      <c r="D88" s="97"/>
      <c r="E88" s="97"/>
      <c r="F88" s="95" t="e">
        <f>E88-#REF!</f>
        <v>#REF!</v>
      </c>
      <c r="G88" s="93">
        <f>E88</f>
        <v>0</v>
      </c>
    </row>
    <row r="89" spans="3:7" ht="12.75" hidden="1">
      <c r="C89" s="77"/>
      <c r="E89" s="77"/>
      <c r="F89" s="95"/>
      <c r="G89" s="93"/>
    </row>
    <row r="90" spans="1:8" ht="12.75" hidden="1">
      <c r="A90" s="74">
        <v>355</v>
      </c>
      <c r="B90" s="74" t="s">
        <v>275</v>
      </c>
      <c r="C90" s="77"/>
      <c r="E90" s="77"/>
      <c r="F90" s="95"/>
      <c r="G90" s="93"/>
      <c r="H90" s="107"/>
    </row>
    <row r="91" spans="2:9" ht="12.75" hidden="1">
      <c r="B91" s="102" t="s">
        <v>276</v>
      </c>
      <c r="C91" s="97">
        <v>21489</v>
      </c>
      <c r="D91" s="97">
        <f>'[2]Profit and Loss (2)'!B41</f>
        <v>22054.15</v>
      </c>
      <c r="E91" s="103">
        <v>22594.16</v>
      </c>
      <c r="F91" s="95" t="e">
        <f>E91-#REF!</f>
        <v>#REF!</v>
      </c>
      <c r="G91" s="93">
        <f>E91</f>
        <v>22594.16</v>
      </c>
      <c r="I91" s="108" t="s">
        <v>434</v>
      </c>
    </row>
    <row r="92" spans="2:7" ht="12.75" hidden="1">
      <c r="B92" s="102" t="s">
        <v>50</v>
      </c>
      <c r="C92" s="97">
        <v>3</v>
      </c>
      <c r="D92" s="97">
        <f>'[2]Profit and Loss (2)'!B24</f>
        <v>59.48</v>
      </c>
      <c r="E92" s="106">
        <v>25</v>
      </c>
      <c r="F92" s="95" t="e">
        <f>E92-#REF!</f>
        <v>#REF!</v>
      </c>
      <c r="G92" s="93">
        <f>E92</f>
        <v>25</v>
      </c>
    </row>
    <row r="93" spans="2:9" ht="12.75" hidden="1">
      <c r="B93" s="96" t="s">
        <v>277</v>
      </c>
      <c r="C93" s="97">
        <v>2745</v>
      </c>
      <c r="D93" s="97">
        <f>'[2]Profit and Loss (2)'!B29</f>
        <v>2734.8</v>
      </c>
      <c r="E93" s="106">
        <v>2735</v>
      </c>
      <c r="F93" s="95" t="e">
        <f>E93-#REF!</f>
        <v>#REF!</v>
      </c>
      <c r="G93" s="93">
        <f>E93</f>
        <v>2735</v>
      </c>
      <c r="I93" s="75" t="s">
        <v>441</v>
      </c>
    </row>
    <row r="94" spans="3:7" ht="12.75" hidden="1">
      <c r="C94" s="109"/>
      <c r="D94" s="109"/>
      <c r="E94" s="110"/>
      <c r="F94" s="111"/>
      <c r="G94" s="110"/>
    </row>
    <row r="95" spans="2:9" ht="12.75" hidden="1">
      <c r="B95" s="112" t="s">
        <v>278</v>
      </c>
      <c r="C95" s="113">
        <f>SUM(C8:C93)</f>
        <v>253235</v>
      </c>
      <c r="D95" s="114">
        <f>SUM(D8:D93)</f>
        <v>239880.63999999996</v>
      </c>
      <c r="E95" s="111">
        <f>SUM(E77:E93)+SUM(E9:E74)</f>
        <v>261861.93200000003</v>
      </c>
      <c r="F95" s="115" t="e">
        <f>SUM(F8:F94)</f>
        <v>#REF!</v>
      </c>
      <c r="G95" s="110">
        <f>SUM(G8:G93)</f>
        <v>245501.93200000003</v>
      </c>
      <c r="H95" s="107"/>
      <c r="I95" s="116">
        <f>C95-E95</f>
        <v>-8626.93200000003</v>
      </c>
    </row>
    <row r="96" spans="2:7" ht="12.75" hidden="1">
      <c r="B96" s="112" t="s">
        <v>279</v>
      </c>
      <c r="C96" s="117">
        <f>SUM(C91+C92+C93+C77+C78)</f>
        <v>70237</v>
      </c>
      <c r="D96" s="117">
        <f>SUM(D91+D92+D93+D77+D78)</f>
        <v>65105.49</v>
      </c>
      <c r="E96" s="117">
        <f>SUM(E91+E92+E10)</f>
        <v>31379.16</v>
      </c>
      <c r="F96" s="118" t="e">
        <f>F91++F92+F93+F86+F12</f>
        <v>#REF!</v>
      </c>
      <c r="G96" s="119">
        <f>G91++G92+G93+G86+G12</f>
        <v>25354.16</v>
      </c>
    </row>
    <row r="97" spans="2:7" ht="12.75" hidden="1">
      <c r="B97" s="112" t="s">
        <v>442</v>
      </c>
      <c r="C97" s="117"/>
      <c r="D97" s="117"/>
      <c r="E97" s="117">
        <f>E93</f>
        <v>2735</v>
      </c>
      <c r="F97" s="118"/>
      <c r="G97" s="119"/>
    </row>
    <row r="98" spans="2:7" ht="12.75" hidden="1">
      <c r="B98" s="112" t="s">
        <v>443</v>
      </c>
      <c r="C98" s="117"/>
      <c r="D98" s="117"/>
      <c r="E98" s="117">
        <f>E77+E78</f>
        <v>46000</v>
      </c>
      <c r="F98" s="118"/>
      <c r="G98" s="119"/>
    </row>
    <row r="99" spans="2:9" ht="12.75" hidden="1">
      <c r="B99" s="112" t="s">
        <v>280</v>
      </c>
      <c r="C99" s="120">
        <f>C95-C96</f>
        <v>182998</v>
      </c>
      <c r="D99" s="120">
        <f>D95-D96</f>
        <v>174775.14999999997</v>
      </c>
      <c r="E99" s="121">
        <f>E95-E96-E98-E97</f>
        <v>181747.77200000003</v>
      </c>
      <c r="F99" s="118" t="e">
        <f>F95-F96</f>
        <v>#REF!</v>
      </c>
      <c r="G99" s="119">
        <f>G95-G96</f>
        <v>220147.77200000003</v>
      </c>
      <c r="I99" s="105"/>
    </row>
    <row r="100" spans="2:7" ht="12.75" hidden="1">
      <c r="B100" s="112"/>
      <c r="C100" s="122"/>
      <c r="D100" s="122"/>
      <c r="E100" s="123"/>
      <c r="F100" s="123"/>
      <c r="G100" s="124"/>
    </row>
    <row r="101" spans="2:7" ht="13.5" hidden="1" thickBot="1">
      <c r="B101" s="116"/>
      <c r="C101" s="93"/>
      <c r="E101" s="93"/>
      <c r="F101" s="93"/>
      <c r="G101" s="93"/>
    </row>
    <row r="102" spans="1:7" ht="12.75" hidden="1">
      <c r="A102" s="230" t="s">
        <v>444</v>
      </c>
      <c r="B102" s="231"/>
      <c r="C102" s="231"/>
      <c r="D102" s="231"/>
      <c r="E102" s="231"/>
      <c r="F102" s="231"/>
      <c r="G102" s="232"/>
    </row>
    <row r="103" spans="1:7" ht="13.5" hidden="1" thickBot="1">
      <c r="A103" s="233"/>
      <c r="B103" s="234"/>
      <c r="C103" s="234"/>
      <c r="D103" s="234"/>
      <c r="E103" s="234"/>
      <c r="F103" s="234"/>
      <c r="G103" s="235"/>
    </row>
    <row r="104" spans="1:7" ht="13.5" hidden="1">
      <c r="A104" s="78"/>
      <c r="B104" s="79"/>
      <c r="C104" s="80">
        <v>2016</v>
      </c>
      <c r="D104" s="81" t="s">
        <v>154</v>
      </c>
      <c r="E104" s="80">
        <f>E4</f>
        <v>2017</v>
      </c>
      <c r="F104" s="82" t="s">
        <v>212</v>
      </c>
      <c r="G104" s="83">
        <v>2013</v>
      </c>
    </row>
    <row r="105" spans="1:7" ht="13.5" hidden="1">
      <c r="A105" s="84" t="s">
        <v>213</v>
      </c>
      <c r="B105" s="85"/>
      <c r="C105" s="86" t="s">
        <v>214</v>
      </c>
      <c r="D105" s="87" t="s">
        <v>215</v>
      </c>
      <c r="E105" s="86" t="s">
        <v>216</v>
      </c>
      <c r="F105" s="86" t="s">
        <v>217</v>
      </c>
      <c r="G105" s="88" t="s">
        <v>218</v>
      </c>
    </row>
    <row r="106" spans="1:7" ht="14.25" hidden="1" thickBot="1">
      <c r="A106" s="89" t="s">
        <v>219</v>
      </c>
      <c r="B106" s="90" t="s">
        <v>220</v>
      </c>
      <c r="C106" s="90" t="s">
        <v>3</v>
      </c>
      <c r="D106" s="91" t="s">
        <v>221</v>
      </c>
      <c r="E106" s="90" t="s">
        <v>3</v>
      </c>
      <c r="F106" s="90" t="s">
        <v>222</v>
      </c>
      <c r="G106" s="92" t="s">
        <v>3</v>
      </c>
    </row>
    <row r="107" spans="3:7" ht="12.75" hidden="1">
      <c r="C107" s="93"/>
      <c r="D107" s="125"/>
      <c r="E107" s="93"/>
      <c r="F107" s="93"/>
      <c r="G107" s="93"/>
    </row>
    <row r="108" spans="1:7" ht="12.75" hidden="1">
      <c r="A108" s="74">
        <v>400</v>
      </c>
      <c r="B108" s="74" t="s">
        <v>281</v>
      </c>
      <c r="C108" s="77"/>
      <c r="D108" s="125"/>
      <c r="E108" s="126"/>
      <c r="F108" s="125"/>
      <c r="G108" s="93"/>
    </row>
    <row r="109" spans="2:7" ht="12.75" hidden="1">
      <c r="B109" s="102" t="s">
        <v>282</v>
      </c>
      <c r="C109" s="106">
        <v>4800</v>
      </c>
      <c r="D109" s="127">
        <f>'[2]Profit and Loss (2)'!B50</f>
        <v>3850</v>
      </c>
      <c r="E109" s="106">
        <v>4800</v>
      </c>
      <c r="F109" s="125" t="e">
        <f>E109-#REF!</f>
        <v>#REF!</v>
      </c>
      <c r="G109" s="93">
        <f>E109</f>
        <v>4800</v>
      </c>
    </row>
    <row r="110" spans="2:7" ht="12.75" hidden="1">
      <c r="B110" s="102" t="s">
        <v>283</v>
      </c>
      <c r="C110" s="106">
        <v>100</v>
      </c>
      <c r="D110" s="127">
        <f>'[2]Profit and Loss (2)'!B52</f>
        <v>309</v>
      </c>
      <c r="E110" s="106">
        <v>300</v>
      </c>
      <c r="F110" s="125" t="e">
        <f>E110-#REF!</f>
        <v>#REF!</v>
      </c>
      <c r="G110" s="93">
        <f>E110</f>
        <v>300</v>
      </c>
    </row>
    <row r="111" spans="2:7" ht="12.75" hidden="1">
      <c r="B111" s="102" t="s">
        <v>284</v>
      </c>
      <c r="C111" s="106">
        <v>500</v>
      </c>
      <c r="D111" s="127"/>
      <c r="E111" s="106">
        <v>500</v>
      </c>
      <c r="F111" s="125" t="e">
        <f>E111-#REF!</f>
        <v>#REF!</v>
      </c>
      <c r="G111" s="93"/>
    </row>
    <row r="112" spans="2:9" ht="12.75" hidden="1">
      <c r="B112" s="102" t="s">
        <v>285</v>
      </c>
      <c r="C112" s="106">
        <v>500</v>
      </c>
      <c r="D112" s="127"/>
      <c r="E112" s="106">
        <v>750</v>
      </c>
      <c r="F112" s="125"/>
      <c r="G112" s="93"/>
      <c r="I112" s="75" t="s">
        <v>445</v>
      </c>
    </row>
    <row r="113" spans="3:7" ht="12.75" hidden="1">
      <c r="C113" s="126"/>
      <c r="D113" s="125"/>
      <c r="E113" s="126"/>
      <c r="F113" s="125"/>
      <c r="G113" s="93"/>
    </row>
    <row r="114" spans="1:7" ht="12.75" hidden="1">
      <c r="A114" s="74">
        <v>401</v>
      </c>
      <c r="B114" s="74" t="s">
        <v>61</v>
      </c>
      <c r="C114" s="126"/>
      <c r="D114" s="125"/>
      <c r="E114" s="126"/>
      <c r="F114" s="125"/>
      <c r="G114" s="93"/>
    </row>
    <row r="115" spans="2:7" ht="12.75" hidden="1">
      <c r="B115" s="102" t="s">
        <v>286</v>
      </c>
      <c r="C115" s="106">
        <v>1200</v>
      </c>
      <c r="D115" s="127">
        <f>'[2]Profit and Loss (2)'!B56</f>
        <v>1000</v>
      </c>
      <c r="E115" s="106">
        <v>1200</v>
      </c>
      <c r="F115" s="125" t="e">
        <f>E115-#REF!</f>
        <v>#REF!</v>
      </c>
      <c r="G115" s="93">
        <f>E115</f>
        <v>1200</v>
      </c>
    </row>
    <row r="116" spans="2:7" ht="12.75" hidden="1">
      <c r="B116" s="102" t="s">
        <v>283</v>
      </c>
      <c r="C116" s="106">
        <v>50</v>
      </c>
      <c r="D116" s="127">
        <v>0</v>
      </c>
      <c r="E116" s="106">
        <v>50</v>
      </c>
      <c r="F116" s="125" t="e">
        <f>E116-#REF!</f>
        <v>#REF!</v>
      </c>
      <c r="G116" s="93">
        <f>E116</f>
        <v>50</v>
      </c>
    </row>
    <row r="117" spans="3:7" ht="12.75" hidden="1">
      <c r="C117" s="126"/>
      <c r="D117" s="125">
        <v>0</v>
      </c>
      <c r="E117" s="126"/>
      <c r="F117" s="125"/>
      <c r="G117" s="93"/>
    </row>
    <row r="118" spans="1:7" ht="12.75" hidden="1">
      <c r="A118" s="74">
        <v>402</v>
      </c>
      <c r="B118" s="101" t="s">
        <v>64</v>
      </c>
      <c r="C118" s="106">
        <v>2500</v>
      </c>
      <c r="D118" s="127">
        <f>'[2]Profit and Loss (2)'!B57</f>
        <v>2700</v>
      </c>
      <c r="E118" s="106">
        <v>2700</v>
      </c>
      <c r="F118" s="125" t="e">
        <f>E118-#REF!</f>
        <v>#REF!</v>
      </c>
      <c r="G118" s="93">
        <f>E118</f>
        <v>2700</v>
      </c>
    </row>
    <row r="119" spans="3:7" ht="12.75" hidden="1">
      <c r="C119" s="126"/>
      <c r="D119" s="125"/>
      <c r="E119" s="126"/>
      <c r="F119" s="125"/>
      <c r="G119" s="93"/>
    </row>
    <row r="120" spans="1:7" ht="12.75" hidden="1">
      <c r="A120" s="74">
        <v>403</v>
      </c>
      <c r="B120" s="74" t="s">
        <v>65</v>
      </c>
      <c r="C120" s="126"/>
      <c r="D120" s="125"/>
      <c r="E120" s="126"/>
      <c r="F120" s="125"/>
      <c r="G120" s="93"/>
    </row>
    <row r="121" spans="2:7" ht="12.75" hidden="1">
      <c r="B121" s="102" t="s">
        <v>287</v>
      </c>
      <c r="C121" s="106">
        <v>3000</v>
      </c>
      <c r="D121" s="127">
        <f>'[2]Profit and Loss (2)'!B58</f>
        <v>2500</v>
      </c>
      <c r="E121" s="128">
        <f>250*12</f>
        <v>3000</v>
      </c>
      <c r="F121" s="125" t="e">
        <f>E121-#REF!</f>
        <v>#REF!</v>
      </c>
      <c r="G121" s="93">
        <f>E121</f>
        <v>3000</v>
      </c>
    </row>
    <row r="122" spans="2:7" ht="12.75" hidden="1">
      <c r="B122" s="102" t="s">
        <v>288</v>
      </c>
      <c r="C122" s="104">
        <v>0</v>
      </c>
      <c r="D122" s="127"/>
      <c r="E122" s="104">
        <v>0</v>
      </c>
      <c r="F122" s="125" t="e">
        <f>E122-#REF!</f>
        <v>#REF!</v>
      </c>
      <c r="G122" s="93">
        <f>E122</f>
        <v>0</v>
      </c>
    </row>
    <row r="123" spans="2:7" ht="12.75" hidden="1">
      <c r="B123" s="102" t="s">
        <v>289</v>
      </c>
      <c r="C123" s="106">
        <v>500</v>
      </c>
      <c r="D123" s="127"/>
      <c r="E123" s="106">
        <v>500</v>
      </c>
      <c r="F123" s="125"/>
      <c r="G123" s="93"/>
    </row>
    <row r="124" spans="2:7" ht="12.75" hidden="1">
      <c r="B124" s="102" t="s">
        <v>290</v>
      </c>
      <c r="C124" s="106">
        <v>200</v>
      </c>
      <c r="D124" s="127">
        <f>'[2]Profit and Loss (2)'!B59+'[2]Profit and Loss (2)'!B60</f>
        <v>253.01</v>
      </c>
      <c r="E124" s="106">
        <v>300</v>
      </c>
      <c r="F124" s="125" t="e">
        <f>E124-#REF!</f>
        <v>#REF!</v>
      </c>
      <c r="G124" s="93">
        <f>E124</f>
        <v>300</v>
      </c>
    </row>
    <row r="125" spans="3:7" ht="12.75" hidden="1">
      <c r="C125" s="126"/>
      <c r="D125" s="125"/>
      <c r="E125" s="126"/>
      <c r="F125" s="125"/>
      <c r="G125" s="93"/>
    </row>
    <row r="126" spans="1:7" ht="12.75" hidden="1">
      <c r="A126" s="74">
        <v>404</v>
      </c>
      <c r="B126" s="74" t="s">
        <v>69</v>
      </c>
      <c r="C126" s="126"/>
      <c r="D126" s="125"/>
      <c r="E126" s="126"/>
      <c r="F126" s="125"/>
      <c r="G126" s="93"/>
    </row>
    <row r="127" spans="2:7" ht="12.75" hidden="1">
      <c r="B127" s="102" t="s">
        <v>291</v>
      </c>
      <c r="C127" s="106">
        <v>4000</v>
      </c>
      <c r="D127" s="127">
        <f>'[2]Profit and Loss (2)'!B61</f>
        <v>4787.68</v>
      </c>
      <c r="E127" s="106">
        <v>5000</v>
      </c>
      <c r="F127" s="125" t="e">
        <f>E127-#REF!</f>
        <v>#REF!</v>
      </c>
      <c r="G127" s="93">
        <f>E127</f>
        <v>5000</v>
      </c>
    </row>
    <row r="128" spans="2:7" ht="12.75" hidden="1">
      <c r="B128" s="102" t="s">
        <v>292</v>
      </c>
      <c r="C128" s="106">
        <v>1000</v>
      </c>
      <c r="D128" s="99"/>
      <c r="E128" s="106">
        <v>250</v>
      </c>
      <c r="F128" s="125" t="e">
        <f>E128-#REF!</f>
        <v>#REF!</v>
      </c>
      <c r="G128" s="93">
        <f>E128</f>
        <v>250</v>
      </c>
    </row>
    <row r="129" spans="3:7" ht="12.75" hidden="1">
      <c r="C129" s="126"/>
      <c r="D129" s="125"/>
      <c r="E129" s="126"/>
      <c r="F129" s="125"/>
      <c r="G129" s="93"/>
    </row>
    <row r="130" spans="1:7" ht="12.75" hidden="1">
      <c r="A130" s="74">
        <v>405</v>
      </c>
      <c r="B130" s="74" t="s">
        <v>72</v>
      </c>
      <c r="C130" s="126"/>
      <c r="D130" s="125"/>
      <c r="E130" s="126"/>
      <c r="F130" s="125"/>
      <c r="G130" s="93"/>
    </row>
    <row r="131" spans="2:7" ht="12.75" hidden="1">
      <c r="B131" s="102" t="s">
        <v>286</v>
      </c>
      <c r="C131" s="106">
        <v>7100</v>
      </c>
      <c r="D131" s="127">
        <f>'[2]Profit and Loss (2)'!B62</f>
        <v>5920</v>
      </c>
      <c r="E131" s="106">
        <v>7100</v>
      </c>
      <c r="F131" s="125" t="e">
        <f>E131-#REF!</f>
        <v>#REF!</v>
      </c>
      <c r="G131" s="93">
        <f aca="true" t="shared" si="2" ref="G131:G139">E131</f>
        <v>7100</v>
      </c>
    </row>
    <row r="132" spans="2:7" ht="12.75" hidden="1">
      <c r="B132" s="102" t="s">
        <v>293</v>
      </c>
      <c r="C132" s="106">
        <v>500</v>
      </c>
      <c r="D132" s="127">
        <f>'[2]Profit and Loss (2)'!B63</f>
        <v>415.48</v>
      </c>
      <c r="E132" s="106">
        <v>400</v>
      </c>
      <c r="F132" s="125" t="e">
        <f>E132-#REF!</f>
        <v>#REF!</v>
      </c>
      <c r="G132" s="93">
        <f t="shared" si="2"/>
        <v>400</v>
      </c>
    </row>
    <row r="133" spans="2:7" ht="12.75" hidden="1">
      <c r="B133" s="102" t="s">
        <v>294</v>
      </c>
      <c r="C133" s="106">
        <v>1100</v>
      </c>
      <c r="D133" s="127">
        <f>'[2]Profit and Loss (2)'!B64</f>
        <v>845.52</v>
      </c>
      <c r="E133" s="106">
        <v>1100</v>
      </c>
      <c r="F133" s="125"/>
      <c r="G133" s="93"/>
    </row>
    <row r="134" spans="2:7" ht="12.75" hidden="1">
      <c r="B134" s="102" t="s">
        <v>295</v>
      </c>
      <c r="C134" s="106"/>
      <c r="D134" s="127">
        <v>0</v>
      </c>
      <c r="E134" s="106">
        <v>300</v>
      </c>
      <c r="F134" s="125"/>
      <c r="G134" s="93"/>
    </row>
    <row r="135" spans="2:7" ht="12.75" hidden="1">
      <c r="B135" s="102" t="s">
        <v>77</v>
      </c>
      <c r="C135" s="106">
        <v>100</v>
      </c>
      <c r="D135" s="127">
        <v>0</v>
      </c>
      <c r="E135" s="106">
        <v>100</v>
      </c>
      <c r="F135" s="125" t="e">
        <f>E135-#REF!</f>
        <v>#REF!</v>
      </c>
      <c r="G135" s="93">
        <f t="shared" si="2"/>
        <v>100</v>
      </c>
    </row>
    <row r="136" spans="2:7" ht="12.75" hidden="1">
      <c r="B136" s="102" t="s">
        <v>294</v>
      </c>
      <c r="C136" s="106"/>
      <c r="D136" s="127"/>
      <c r="E136" s="106"/>
      <c r="F136" s="125"/>
      <c r="G136" s="93">
        <f t="shared" si="2"/>
        <v>0</v>
      </c>
    </row>
    <row r="137" spans="2:7" ht="12.75" hidden="1">
      <c r="B137" s="102" t="s">
        <v>296</v>
      </c>
      <c r="C137" s="106">
        <v>300</v>
      </c>
      <c r="D137" s="127">
        <f>'[2]Profit and Loss (2)'!B65</f>
        <v>77.68</v>
      </c>
      <c r="E137" s="106">
        <v>200</v>
      </c>
      <c r="F137" s="125" t="e">
        <f>E137-#REF!</f>
        <v>#REF!</v>
      </c>
      <c r="G137" s="93">
        <f t="shared" si="2"/>
        <v>200</v>
      </c>
    </row>
    <row r="138" spans="2:7" ht="12.75" hidden="1">
      <c r="B138" s="102" t="s">
        <v>297</v>
      </c>
      <c r="C138" s="106">
        <v>450</v>
      </c>
      <c r="D138" s="99">
        <v>0</v>
      </c>
      <c r="E138" s="106">
        <v>435</v>
      </c>
      <c r="F138" s="125" t="e">
        <f>E138-#REF!</f>
        <v>#REF!</v>
      </c>
      <c r="G138" s="93">
        <f t="shared" si="2"/>
        <v>435</v>
      </c>
    </row>
    <row r="139" spans="2:8" ht="12.75" hidden="1">
      <c r="B139" s="102" t="s">
        <v>298</v>
      </c>
      <c r="C139" s="106">
        <v>1000</v>
      </c>
      <c r="D139" s="127">
        <f>'[2]Profit and Loss (2)'!B67</f>
        <v>1065.56</v>
      </c>
      <c r="E139" s="106">
        <v>1000</v>
      </c>
      <c r="F139" s="125" t="e">
        <f>E139-#REF!</f>
        <v>#REF!</v>
      </c>
      <c r="G139" s="93">
        <f t="shared" si="2"/>
        <v>1000</v>
      </c>
      <c r="H139" s="107"/>
    </row>
    <row r="140" spans="3:7" ht="12.75" hidden="1">
      <c r="C140" s="126"/>
      <c r="D140" s="125"/>
      <c r="E140" s="126"/>
      <c r="F140" s="125"/>
      <c r="G140" s="93"/>
    </row>
    <row r="141" spans="1:7" ht="12.75" hidden="1">
      <c r="A141" s="74">
        <v>407</v>
      </c>
      <c r="B141" s="74" t="s">
        <v>48</v>
      </c>
      <c r="C141" s="126"/>
      <c r="D141" s="125"/>
      <c r="E141" s="126"/>
      <c r="F141" s="125"/>
      <c r="G141" s="93"/>
    </row>
    <row r="142" spans="2:7" ht="12.75" hidden="1">
      <c r="B142" s="102" t="s">
        <v>132</v>
      </c>
      <c r="C142" s="106">
        <v>500</v>
      </c>
      <c r="D142" s="127">
        <f>'[2]Profit and Loss (2)'!B66</f>
        <v>287.91</v>
      </c>
      <c r="E142" s="106">
        <v>300</v>
      </c>
      <c r="F142" s="125" t="e">
        <f>E142-#REF!</f>
        <v>#REF!</v>
      </c>
      <c r="G142" s="93">
        <f>E142</f>
        <v>300</v>
      </c>
    </row>
    <row r="143" spans="2:7" ht="12.75" hidden="1">
      <c r="B143" s="102" t="s">
        <v>299</v>
      </c>
      <c r="C143" s="106">
        <v>100</v>
      </c>
      <c r="D143" s="127">
        <f>'[2]Profit and Loss (2)'!B89</f>
        <v>1220.22</v>
      </c>
      <c r="E143" s="106">
        <v>100</v>
      </c>
      <c r="F143" s="125" t="e">
        <f>E143-#REF!</f>
        <v>#REF!</v>
      </c>
      <c r="G143" s="93">
        <f>E143</f>
        <v>100</v>
      </c>
    </row>
    <row r="144" spans="3:7" ht="12.75">
      <c r="C144" s="126"/>
      <c r="D144" s="125"/>
      <c r="E144" s="126"/>
      <c r="F144" s="125"/>
      <c r="G144" s="93"/>
    </row>
    <row r="145" spans="1:7" ht="12.75" hidden="1">
      <c r="A145" s="74">
        <v>408</v>
      </c>
      <c r="B145" s="74" t="s">
        <v>300</v>
      </c>
      <c r="C145" s="126"/>
      <c r="D145" s="125"/>
      <c r="E145" s="126"/>
      <c r="F145" s="125"/>
      <c r="G145" s="93"/>
    </row>
    <row r="146" spans="2:7" ht="12.75" hidden="1">
      <c r="B146" s="102" t="s">
        <v>301</v>
      </c>
      <c r="C146" s="106">
        <v>2000</v>
      </c>
      <c r="D146" s="127">
        <f>'[2]Profit and Loss (2)'!B68</f>
        <v>1124</v>
      </c>
      <c r="E146" s="106">
        <v>2000</v>
      </c>
      <c r="F146" s="125" t="e">
        <f>E146-#REF!</f>
        <v>#REF!</v>
      </c>
      <c r="G146" s="93">
        <f>E146</f>
        <v>2000</v>
      </c>
    </row>
    <row r="147" spans="2:7" ht="12.75" hidden="1">
      <c r="B147" s="102" t="s">
        <v>302</v>
      </c>
      <c r="C147" s="106"/>
      <c r="D147" s="127"/>
      <c r="E147" s="106"/>
      <c r="F147" s="125"/>
      <c r="G147" s="93"/>
    </row>
    <row r="148" spans="2:7" ht="12.75" hidden="1">
      <c r="B148" s="102" t="s">
        <v>303</v>
      </c>
      <c r="C148" s="106">
        <v>1000</v>
      </c>
      <c r="D148" s="127">
        <f>'[2]Profit and Loss (2)'!B70</f>
        <v>102</v>
      </c>
      <c r="E148" s="106">
        <v>1000</v>
      </c>
      <c r="F148" s="125"/>
      <c r="G148" s="93"/>
    </row>
    <row r="149" spans="2:7" ht="12.75" hidden="1">
      <c r="B149" s="102" t="s">
        <v>304</v>
      </c>
      <c r="C149" s="106">
        <v>500</v>
      </c>
      <c r="D149" s="127">
        <v>0</v>
      </c>
      <c r="E149" s="106">
        <v>500</v>
      </c>
      <c r="F149" s="125"/>
      <c r="G149" s="93"/>
    </row>
    <row r="150" spans="2:9" ht="12.75" hidden="1">
      <c r="B150" s="102" t="s">
        <v>305</v>
      </c>
      <c r="C150" s="106">
        <v>8000</v>
      </c>
      <c r="D150" s="127">
        <f>'[2]Profit and Loss (2)'!B69</f>
        <v>5864</v>
      </c>
      <c r="E150" s="128">
        <v>4000</v>
      </c>
      <c r="F150" s="125" t="e">
        <f>E150-#REF!</f>
        <v>#REF!</v>
      </c>
      <c r="G150" s="93">
        <f>E150</f>
        <v>4000</v>
      </c>
      <c r="I150" s="75" t="s">
        <v>446</v>
      </c>
    </row>
    <row r="151" spans="2:7" ht="12.75" hidden="1">
      <c r="B151" s="102" t="s">
        <v>303</v>
      </c>
      <c r="C151" s="106"/>
      <c r="D151" s="127"/>
      <c r="E151" s="106"/>
      <c r="F151" s="125"/>
      <c r="G151" s="93"/>
    </row>
    <row r="152" spans="3:7" ht="12.75">
      <c r="C152" s="126"/>
      <c r="D152" s="125"/>
      <c r="E152" s="126"/>
      <c r="F152" s="125"/>
      <c r="G152" s="93"/>
    </row>
    <row r="153" spans="1:7" ht="12.75" hidden="1">
      <c r="A153" s="74">
        <v>409</v>
      </c>
      <c r="B153" s="74" t="s">
        <v>86</v>
      </c>
      <c r="C153" s="126"/>
      <c r="D153" s="125"/>
      <c r="E153" s="126"/>
      <c r="F153" s="125"/>
      <c r="G153" s="93"/>
    </row>
    <row r="154" spans="2:7" ht="12.75" hidden="1">
      <c r="B154" s="102" t="s">
        <v>306</v>
      </c>
      <c r="C154" s="106">
        <v>100</v>
      </c>
      <c r="D154" s="127">
        <v>0</v>
      </c>
      <c r="E154" s="106">
        <v>100</v>
      </c>
      <c r="F154" s="125" t="e">
        <f>E154-#REF!</f>
        <v>#REF!</v>
      </c>
      <c r="G154" s="93">
        <f aca="true" t="shared" si="3" ref="G154:G160">E154</f>
        <v>100</v>
      </c>
    </row>
    <row r="155" spans="2:7" ht="12.75" hidden="1">
      <c r="B155" s="102" t="s">
        <v>307</v>
      </c>
      <c r="C155" s="106">
        <v>650</v>
      </c>
      <c r="D155" s="127">
        <f>'[2]Profit and Loss (2)'!B71</f>
        <v>623.02</v>
      </c>
      <c r="E155" s="106">
        <f>63*12</f>
        <v>756</v>
      </c>
      <c r="F155" s="125" t="e">
        <f>E155-#REF!</f>
        <v>#REF!</v>
      </c>
      <c r="G155" s="93">
        <f t="shared" si="3"/>
        <v>756</v>
      </c>
    </row>
    <row r="156" spans="2:7" ht="12.75" hidden="1">
      <c r="B156" s="96" t="s">
        <v>308</v>
      </c>
      <c r="C156" s="106">
        <v>500</v>
      </c>
      <c r="D156" s="127">
        <f>'[2]Profit and Loss (2)'!B51+'[2]Profit and Loss (2)'!B72</f>
        <v>557.4300000000001</v>
      </c>
      <c r="E156" s="106">
        <f>50*12</f>
        <v>600</v>
      </c>
      <c r="F156" s="125" t="e">
        <f>E156-#REF!</f>
        <v>#REF!</v>
      </c>
      <c r="G156" s="93">
        <f t="shared" si="3"/>
        <v>600</v>
      </c>
    </row>
    <row r="157" spans="2:7" ht="12.75" hidden="1">
      <c r="B157" s="102" t="s">
        <v>309</v>
      </c>
      <c r="C157" s="106">
        <v>500</v>
      </c>
      <c r="D157" s="127">
        <f>'[2]Profit and Loss (2)'!B73</f>
        <v>509.16</v>
      </c>
      <c r="E157" s="106">
        <v>600</v>
      </c>
      <c r="F157" s="125" t="e">
        <f>E157-#REF!</f>
        <v>#REF!</v>
      </c>
      <c r="G157" s="93">
        <f t="shared" si="3"/>
        <v>600</v>
      </c>
    </row>
    <row r="158" spans="2:7" ht="12.75" hidden="1">
      <c r="B158" s="102" t="s">
        <v>310</v>
      </c>
      <c r="C158" s="106">
        <v>100</v>
      </c>
      <c r="D158" s="127">
        <f>'[2]Profit and Loss (2)'!B75</f>
        <v>1508.74</v>
      </c>
      <c r="E158" s="128">
        <v>1000</v>
      </c>
      <c r="F158" s="125" t="e">
        <f>E158-#REF!</f>
        <v>#REF!</v>
      </c>
      <c r="G158" s="93">
        <f t="shared" si="3"/>
        <v>1000</v>
      </c>
    </row>
    <row r="159" spans="2:7" ht="12.75" hidden="1">
      <c r="B159" s="102" t="s">
        <v>311</v>
      </c>
      <c r="C159" s="106">
        <v>1500</v>
      </c>
      <c r="D159" s="127">
        <f>'[2]Profit and Loss (2)'!B74</f>
        <v>540.33</v>
      </c>
      <c r="E159" s="106">
        <v>1000</v>
      </c>
      <c r="F159" s="125" t="e">
        <f>E159-#REF!</f>
        <v>#REF!</v>
      </c>
      <c r="G159" s="93">
        <f t="shared" si="3"/>
        <v>1000</v>
      </c>
    </row>
    <row r="160" spans="2:7" ht="12.75" hidden="1">
      <c r="B160" s="102" t="s">
        <v>312</v>
      </c>
      <c r="C160" s="106">
        <v>1000</v>
      </c>
      <c r="D160" s="127"/>
      <c r="E160" s="128">
        <v>1500</v>
      </c>
      <c r="F160" s="125" t="e">
        <f>E160-#REF!</f>
        <v>#REF!</v>
      </c>
      <c r="G160" s="93">
        <f t="shared" si="3"/>
        <v>1500</v>
      </c>
    </row>
    <row r="161" spans="2:7" ht="12.75" hidden="1">
      <c r="B161" s="74"/>
      <c r="C161" s="126"/>
      <c r="D161" s="125"/>
      <c r="E161" s="126"/>
      <c r="F161" s="125"/>
      <c r="G161" s="93"/>
    </row>
    <row r="162" spans="3:7" ht="12.75">
      <c r="C162" s="126"/>
      <c r="D162" s="125"/>
      <c r="E162" s="126"/>
      <c r="F162" s="125"/>
      <c r="G162" s="93"/>
    </row>
    <row r="163" spans="1:7" ht="12.75" hidden="1">
      <c r="A163" s="74">
        <v>411</v>
      </c>
      <c r="B163" s="74" t="s">
        <v>313</v>
      </c>
      <c r="C163" s="126"/>
      <c r="D163" s="125"/>
      <c r="E163" s="126"/>
      <c r="F163" s="125"/>
      <c r="G163" s="93"/>
    </row>
    <row r="164" spans="2:7" ht="12.75" hidden="1">
      <c r="B164" s="102" t="s">
        <v>314</v>
      </c>
      <c r="C164" s="106">
        <f>98.44*12</f>
        <v>1181.28</v>
      </c>
      <c r="D164" s="127">
        <f>'[2]Profit and Loss (2)'!B97</f>
        <v>984.4</v>
      </c>
      <c r="E164" s="106">
        <f>98.44*12</f>
        <v>1181.28</v>
      </c>
      <c r="F164" s="125" t="e">
        <f>E164-#REF!</f>
        <v>#REF!</v>
      </c>
      <c r="G164" s="93">
        <f>E164</f>
        <v>1181.28</v>
      </c>
    </row>
    <row r="165" spans="2:7" ht="12.75" hidden="1">
      <c r="B165" s="102" t="s">
        <v>315</v>
      </c>
      <c r="C165" s="129">
        <v>9000</v>
      </c>
      <c r="D165" s="127">
        <f>'[2]Profit and Loss (2)'!B96-D167</f>
        <v>7238</v>
      </c>
      <c r="E165" s="129">
        <f>2885+6319</f>
        <v>9204</v>
      </c>
      <c r="F165" s="125" t="e">
        <f>E165-#REF!</f>
        <v>#REF!</v>
      </c>
      <c r="G165" s="93">
        <f>E165</f>
        <v>9204</v>
      </c>
    </row>
    <row r="166" spans="2:7" ht="12.75" hidden="1">
      <c r="B166" s="102" t="s">
        <v>447</v>
      </c>
      <c r="C166" s="129"/>
      <c r="D166" s="127"/>
      <c r="E166" s="129">
        <v>2500</v>
      </c>
      <c r="F166" s="125"/>
      <c r="G166" s="93"/>
    </row>
    <row r="167" spans="2:7" ht="12.75" hidden="1">
      <c r="B167" s="102" t="s">
        <v>316</v>
      </c>
      <c r="C167" s="129">
        <v>5900</v>
      </c>
      <c r="D167" s="127">
        <v>6137</v>
      </c>
      <c r="E167" s="129">
        <v>6150</v>
      </c>
      <c r="F167" s="125"/>
      <c r="G167" s="93"/>
    </row>
    <row r="168" spans="2:7" ht="12.75" hidden="1">
      <c r="B168" s="102" t="s">
        <v>317</v>
      </c>
      <c r="C168" s="130">
        <f>C93</f>
        <v>2745</v>
      </c>
      <c r="D168" s="127">
        <f>'[2]Profit and Loss (2)'!B76</f>
        <v>2734.8</v>
      </c>
      <c r="E168" s="130">
        <v>2735</v>
      </c>
      <c r="F168" s="125" t="e">
        <f>E168-#REF!</f>
        <v>#REF!</v>
      </c>
      <c r="G168" s="93">
        <f>E168</f>
        <v>2735</v>
      </c>
    </row>
    <row r="169" spans="3:7" ht="12.75">
      <c r="C169" s="126"/>
      <c r="D169" s="125"/>
      <c r="E169" s="126"/>
      <c r="F169" s="125"/>
      <c r="G169" s="93"/>
    </row>
    <row r="170" spans="1:7" ht="12.75" hidden="1">
      <c r="A170" s="74">
        <v>414</v>
      </c>
      <c r="B170" s="74" t="s">
        <v>318</v>
      </c>
      <c r="C170" s="126"/>
      <c r="D170" s="95"/>
      <c r="E170" s="126"/>
      <c r="F170" s="125"/>
      <c r="G170" s="93"/>
    </row>
    <row r="171" spans="2:7" ht="12.75" hidden="1">
      <c r="B171" s="96" t="s">
        <v>319</v>
      </c>
      <c r="C171" s="106">
        <v>500</v>
      </c>
      <c r="D171" s="131">
        <f>'[2]Profit and Loss (2)'!B77</f>
        <v>137.5</v>
      </c>
      <c r="E171" s="128">
        <v>2000</v>
      </c>
      <c r="F171" s="125" t="e">
        <f>E171-#REF!</f>
        <v>#REF!</v>
      </c>
      <c r="G171" s="93">
        <f>E171</f>
        <v>2000</v>
      </c>
    </row>
    <row r="172" spans="2:7" ht="12.75" hidden="1">
      <c r="B172" s="102" t="s">
        <v>320</v>
      </c>
      <c r="C172" s="106">
        <v>500</v>
      </c>
      <c r="D172" s="131">
        <v>0</v>
      </c>
      <c r="E172" s="128">
        <v>250</v>
      </c>
      <c r="F172" s="125" t="e">
        <f>E172-#REF!</f>
        <v>#REF!</v>
      </c>
      <c r="G172" s="93">
        <f>E172</f>
        <v>250</v>
      </c>
    </row>
    <row r="173" spans="2:7" ht="12.75" hidden="1">
      <c r="B173" s="102" t="s">
        <v>321</v>
      </c>
      <c r="C173" s="106">
        <v>1500</v>
      </c>
      <c r="D173" s="131">
        <f>'[2]Profit and Loss (2)'!B54</f>
        <v>803.25</v>
      </c>
      <c r="E173" s="128">
        <v>2000</v>
      </c>
      <c r="F173" s="125"/>
      <c r="G173" s="93"/>
    </row>
    <row r="174" spans="2:7" ht="12.75" hidden="1">
      <c r="B174" s="102" t="s">
        <v>322</v>
      </c>
      <c r="C174" s="106"/>
      <c r="D174" s="131"/>
      <c r="E174" s="128"/>
      <c r="F174" s="125" t="e">
        <f>E174-#REF!</f>
        <v>#REF!</v>
      </c>
      <c r="G174" s="93">
        <f>E174</f>
        <v>0</v>
      </c>
    </row>
    <row r="175" spans="2:7" ht="12.75" hidden="1">
      <c r="B175" s="102" t="s">
        <v>448</v>
      </c>
      <c r="C175" s="106"/>
      <c r="D175" s="131">
        <f>'[2]Profit and Loss (2)'!B55</f>
        <v>599</v>
      </c>
      <c r="E175" s="128">
        <v>250</v>
      </c>
      <c r="F175" s="125"/>
      <c r="G175" s="93"/>
    </row>
    <row r="176" spans="2:7" ht="12.75" hidden="1">
      <c r="B176" s="102" t="s">
        <v>105</v>
      </c>
      <c r="C176" s="106">
        <v>1000</v>
      </c>
      <c r="D176" s="131">
        <f>'[2]Profit and Loss (2)'!B53</f>
        <v>851</v>
      </c>
      <c r="E176" s="128">
        <v>1000</v>
      </c>
      <c r="F176" s="125" t="e">
        <f>E176-#REF!</f>
        <v>#REF!</v>
      </c>
      <c r="G176" s="93">
        <f>E176</f>
        <v>1000</v>
      </c>
    </row>
    <row r="177" spans="3:8" ht="12.75">
      <c r="C177" s="126"/>
      <c r="D177" s="95"/>
      <c r="E177" s="126"/>
      <c r="F177" s="132"/>
      <c r="H177" s="133"/>
    </row>
    <row r="178" spans="1:6" ht="12.75" hidden="1">
      <c r="A178" s="74">
        <v>426</v>
      </c>
      <c r="B178" s="74" t="s">
        <v>107</v>
      </c>
      <c r="C178" s="126"/>
      <c r="D178" s="95"/>
      <c r="E178" s="126"/>
      <c r="F178" s="132"/>
    </row>
    <row r="179" spans="2:7" ht="12.75" hidden="1">
      <c r="B179" s="96" t="s">
        <v>323</v>
      </c>
      <c r="C179" s="106">
        <v>44797</v>
      </c>
      <c r="D179" s="131">
        <f>'[2]Profit and Loss (2)'!B99</f>
        <v>37253.77</v>
      </c>
      <c r="E179" s="106">
        <f>3724.52*12</f>
        <v>44694.24</v>
      </c>
      <c r="F179" s="125" t="e">
        <f>E179-#REF!</f>
        <v>#REF!</v>
      </c>
      <c r="G179" s="93">
        <f>E179</f>
        <v>44694.24</v>
      </c>
    </row>
    <row r="180" spans="2:7" ht="12.75" hidden="1">
      <c r="B180" s="96" t="s">
        <v>324</v>
      </c>
      <c r="C180" s="106">
        <v>5000</v>
      </c>
      <c r="D180" s="131">
        <f>'[2]Profit and Loss (2)'!B106</f>
        <v>123.94</v>
      </c>
      <c r="E180" s="106">
        <v>5000</v>
      </c>
      <c r="F180" s="125" t="e">
        <f>E180-#REF!</f>
        <v>#REF!</v>
      </c>
      <c r="G180" s="93">
        <f>E180</f>
        <v>5000</v>
      </c>
    </row>
    <row r="181" spans="2:7" ht="12.75" hidden="1">
      <c r="B181" s="96" t="s">
        <v>111</v>
      </c>
      <c r="C181" s="106">
        <v>500</v>
      </c>
      <c r="D181" s="131">
        <v>0</v>
      </c>
      <c r="E181" s="106">
        <v>0</v>
      </c>
      <c r="F181" s="125" t="e">
        <f>E181-#REF!</f>
        <v>#REF!</v>
      </c>
      <c r="G181" s="93">
        <f>E181</f>
        <v>0</v>
      </c>
    </row>
    <row r="182" spans="2:7" ht="12.75" hidden="1">
      <c r="B182" s="96" t="s">
        <v>325</v>
      </c>
      <c r="C182" s="106">
        <f>500</f>
        <v>500</v>
      </c>
      <c r="D182" s="131">
        <v>0</v>
      </c>
      <c r="E182" s="106">
        <f>125+245+165+165+165</f>
        <v>865</v>
      </c>
      <c r="F182" s="125"/>
      <c r="G182" s="93"/>
    </row>
    <row r="183" spans="2:7" ht="12.75" hidden="1">
      <c r="B183" s="96" t="s">
        <v>326</v>
      </c>
      <c r="C183" s="134"/>
      <c r="D183" s="131">
        <v>0</v>
      </c>
      <c r="E183" s="134"/>
      <c r="F183" s="125"/>
      <c r="G183" s="93">
        <f>E183</f>
        <v>0</v>
      </c>
    </row>
    <row r="184" spans="2:6" ht="12.75">
      <c r="B184" s="74"/>
      <c r="C184" s="126"/>
      <c r="D184" s="95"/>
      <c r="E184" s="126"/>
      <c r="F184" s="125"/>
    </row>
    <row r="185" spans="3:6" ht="12.75">
      <c r="C185" s="126"/>
      <c r="D185" s="95"/>
      <c r="E185" s="126"/>
      <c r="F185" s="132"/>
    </row>
    <row r="186" spans="1:6" ht="12.75" hidden="1">
      <c r="A186" s="74">
        <v>430</v>
      </c>
      <c r="B186" s="74" t="s">
        <v>112</v>
      </c>
      <c r="C186" s="126"/>
      <c r="D186" s="95"/>
      <c r="E186" s="126"/>
      <c r="F186" s="132"/>
    </row>
    <row r="187" spans="2:9" ht="12.75" hidden="1">
      <c r="B187" s="102" t="s">
        <v>327</v>
      </c>
      <c r="C187" s="106">
        <v>15000</v>
      </c>
      <c r="D187" s="131">
        <f>'[2]Profit and Loss (2)'!B79+'[2]Profit and Loss (2)'!B104</f>
        <v>10468.72</v>
      </c>
      <c r="E187" s="106">
        <v>17000</v>
      </c>
      <c r="F187" s="125" t="e">
        <f>E187-#REF!</f>
        <v>#REF!</v>
      </c>
      <c r="G187" s="93">
        <f aca="true" t="shared" si="4" ref="G187:G197">E187</f>
        <v>17000</v>
      </c>
      <c r="I187" s="75" t="s">
        <v>449</v>
      </c>
    </row>
    <row r="188" spans="2:12" ht="12.75" hidden="1">
      <c r="B188" s="102" t="s">
        <v>328</v>
      </c>
      <c r="C188" s="106">
        <v>1000</v>
      </c>
      <c r="D188" s="131">
        <f>'[2]Profit and Loss (2)'!B82</f>
        <v>971.29</v>
      </c>
      <c r="E188" s="106">
        <v>1000</v>
      </c>
      <c r="F188" s="125" t="e">
        <f>E188-#REF!</f>
        <v>#REF!</v>
      </c>
      <c r="G188" s="93">
        <f t="shared" si="4"/>
        <v>1000</v>
      </c>
      <c r="I188" s="135">
        <f>E187/13.5</f>
        <v>1259.2592592592594</v>
      </c>
      <c r="J188" s="136" t="s">
        <v>450</v>
      </c>
      <c r="K188" s="136"/>
      <c r="L188" s="136"/>
    </row>
    <row r="189" spans="2:9" ht="12.75" hidden="1">
      <c r="B189" s="102" t="s">
        <v>329</v>
      </c>
      <c r="C189" s="106">
        <v>1000</v>
      </c>
      <c r="D189" s="131">
        <f>'[2]Profit and Loss (2)'!B83</f>
        <v>958.12</v>
      </c>
      <c r="E189" s="134">
        <v>0</v>
      </c>
      <c r="F189" s="125" t="e">
        <f>E189-#REF!</f>
        <v>#REF!</v>
      </c>
      <c r="G189" s="93">
        <f t="shared" si="4"/>
        <v>0</v>
      </c>
      <c r="I189" s="108"/>
    </row>
    <row r="190" spans="2:7" ht="12.75" hidden="1">
      <c r="B190" s="102" t="s">
        <v>330</v>
      </c>
      <c r="C190" s="106"/>
      <c r="D190" s="131">
        <v>0</v>
      </c>
      <c r="E190" s="128">
        <v>0</v>
      </c>
      <c r="F190" s="125"/>
      <c r="G190" s="93"/>
    </row>
    <row r="191" spans="2:9" ht="12.75" hidden="1">
      <c r="B191" s="102" t="s">
        <v>451</v>
      </c>
      <c r="C191" s="106"/>
      <c r="D191" s="131"/>
      <c r="E191" s="106">
        <v>1000</v>
      </c>
      <c r="F191" s="125"/>
      <c r="G191" s="93"/>
      <c r="I191" s="108"/>
    </row>
    <row r="192" spans="2:8" ht="12.75" hidden="1">
      <c r="B192" s="102" t="s">
        <v>331</v>
      </c>
      <c r="C192" s="106">
        <v>3000</v>
      </c>
      <c r="D192" s="131">
        <f>'[2]Profit and Loss (2)'!B81</f>
        <v>882.91</v>
      </c>
      <c r="E192" s="106">
        <v>2000</v>
      </c>
      <c r="F192" s="125" t="e">
        <f>E192-#REF!</f>
        <v>#REF!</v>
      </c>
      <c r="G192" s="93">
        <f t="shared" si="4"/>
        <v>2000</v>
      </c>
      <c r="H192" s="137"/>
    </row>
    <row r="193" spans="2:8" ht="12.75" hidden="1">
      <c r="B193" s="102" t="s">
        <v>332</v>
      </c>
      <c r="C193" s="106"/>
      <c r="D193" s="131">
        <v>0</v>
      </c>
      <c r="E193" s="106">
        <v>0</v>
      </c>
      <c r="F193" s="125" t="e">
        <f>E193-#REF!</f>
        <v>#REF!</v>
      </c>
      <c r="G193" s="93">
        <f t="shared" si="4"/>
        <v>0</v>
      </c>
      <c r="H193" s="137"/>
    </row>
    <row r="194" spans="2:7" ht="12.75" hidden="1">
      <c r="B194" s="102" t="s">
        <v>333</v>
      </c>
      <c r="C194" s="106">
        <v>2000</v>
      </c>
      <c r="D194" s="131">
        <f>'[2]Profit and Loss (2)'!B80</f>
        <v>731.39</v>
      </c>
      <c r="E194" s="106">
        <v>4000</v>
      </c>
      <c r="F194" s="125" t="e">
        <f>E194-#REF!</f>
        <v>#REF!</v>
      </c>
      <c r="G194" s="93">
        <f t="shared" si="4"/>
        <v>4000</v>
      </c>
    </row>
    <row r="195" spans="2:7" ht="12.75" hidden="1">
      <c r="B195" s="102" t="s">
        <v>334</v>
      </c>
      <c r="C195" s="106">
        <v>3000</v>
      </c>
      <c r="D195" s="131">
        <f>'[2]Profit and Loss (2)'!B84</f>
        <v>1887.5</v>
      </c>
      <c r="E195" s="106">
        <v>3000</v>
      </c>
      <c r="F195" s="125" t="e">
        <f>E195-#REF!</f>
        <v>#REF!</v>
      </c>
      <c r="G195" s="93">
        <f t="shared" si="4"/>
        <v>3000</v>
      </c>
    </row>
    <row r="196" spans="2:8" ht="12.75" hidden="1">
      <c r="B196" s="102" t="s">
        <v>335</v>
      </c>
      <c r="C196" s="134">
        <v>0</v>
      </c>
      <c r="D196" s="131">
        <v>0</v>
      </c>
      <c r="E196" s="106">
        <v>0</v>
      </c>
      <c r="F196" s="125" t="e">
        <f>E196-#REF!</f>
        <v>#REF!</v>
      </c>
      <c r="G196" s="93">
        <f t="shared" si="4"/>
        <v>0</v>
      </c>
      <c r="H196" s="133"/>
    </row>
    <row r="197" spans="2:7" ht="12.75" hidden="1">
      <c r="B197" s="102" t="s">
        <v>452</v>
      </c>
      <c r="C197" s="106">
        <v>1000</v>
      </c>
      <c r="D197" s="131">
        <v>0</v>
      </c>
      <c r="E197" s="106">
        <v>1500</v>
      </c>
      <c r="F197" s="138" t="e">
        <f>E197-#REF!</f>
        <v>#REF!</v>
      </c>
      <c r="G197" s="93">
        <f t="shared" si="4"/>
        <v>1500</v>
      </c>
    </row>
    <row r="198" spans="3:6" ht="12.75">
      <c r="C198" s="126"/>
      <c r="D198" s="95"/>
      <c r="E198" s="126"/>
      <c r="F198" s="132"/>
    </row>
    <row r="199" spans="1:9" ht="12.75" hidden="1">
      <c r="A199" s="74">
        <v>434</v>
      </c>
      <c r="B199" s="101" t="s">
        <v>115</v>
      </c>
      <c r="C199" s="106">
        <f>747*12</f>
        <v>8964</v>
      </c>
      <c r="D199" s="131">
        <f>'[2]Profit and Loss (2)'!B85</f>
        <v>8116.28</v>
      </c>
      <c r="E199" s="106">
        <f>869*12</f>
        <v>10428</v>
      </c>
      <c r="F199" s="125" t="e">
        <f>E199-#REF!</f>
        <v>#REF!</v>
      </c>
      <c r="G199" s="93">
        <f>E199</f>
        <v>10428</v>
      </c>
      <c r="I199" s="75" t="s">
        <v>453</v>
      </c>
    </row>
    <row r="200" spans="2:6" ht="12.75" hidden="1">
      <c r="B200" s="74"/>
      <c r="C200" s="126"/>
      <c r="D200" s="95"/>
      <c r="E200" s="126"/>
      <c r="F200" s="125"/>
    </row>
    <row r="201" spans="1:6" ht="12.75" hidden="1">
      <c r="A201" s="74">
        <v>442</v>
      </c>
      <c r="B201" s="74" t="s">
        <v>336</v>
      </c>
      <c r="C201" s="126"/>
      <c r="D201" s="95"/>
      <c r="E201" s="126"/>
      <c r="F201" s="132"/>
    </row>
    <row r="202" spans="2:9" ht="12.75" hidden="1">
      <c r="B202" s="102" t="s">
        <v>337</v>
      </c>
      <c r="C202" s="106">
        <v>55356</v>
      </c>
      <c r="D202" s="131">
        <f>'[2]Profit and Loss (2)'!B90+'[2]Profit and Loss (2)'!B91</f>
        <v>54686.84</v>
      </c>
      <c r="E202" s="106">
        <f>13671.71*4</f>
        <v>54686.84</v>
      </c>
      <c r="F202" s="125" t="e">
        <f>E202-#REF!</f>
        <v>#REF!</v>
      </c>
      <c r="G202" s="93">
        <f>E202</f>
        <v>54686.84</v>
      </c>
      <c r="I202" s="75" t="s">
        <v>454</v>
      </c>
    </row>
    <row r="203" spans="2:7" ht="12.75" hidden="1">
      <c r="B203" s="102" t="s">
        <v>338</v>
      </c>
      <c r="C203" s="134"/>
      <c r="D203" s="131">
        <v>0</v>
      </c>
      <c r="E203" s="134"/>
      <c r="F203" s="125" t="e">
        <f>E203-#REF!</f>
        <v>#REF!</v>
      </c>
      <c r="G203" s="93">
        <f>E203</f>
        <v>0</v>
      </c>
    </row>
    <row r="204" spans="3:6" ht="12.75">
      <c r="C204" s="126"/>
      <c r="D204" s="95"/>
      <c r="E204" s="126"/>
      <c r="F204" s="132"/>
    </row>
    <row r="205" spans="1:8" ht="12.75" hidden="1">
      <c r="A205" s="74">
        <v>450</v>
      </c>
      <c r="B205" s="74" t="s">
        <v>339</v>
      </c>
      <c r="C205" s="126"/>
      <c r="D205" s="95"/>
      <c r="E205" s="126"/>
      <c r="F205" s="132"/>
      <c r="H205" s="133"/>
    </row>
    <row r="206" spans="2:7" ht="12.75" hidden="1">
      <c r="B206" s="96" t="s">
        <v>340</v>
      </c>
      <c r="C206" s="106">
        <v>500</v>
      </c>
      <c r="D206" s="131">
        <v>0</v>
      </c>
      <c r="E206" s="106">
        <v>100</v>
      </c>
      <c r="F206" s="125" t="e">
        <f>E206-#REF!</f>
        <v>#REF!</v>
      </c>
      <c r="G206" s="93">
        <f>E206</f>
        <v>100</v>
      </c>
    </row>
    <row r="207" spans="2:7" ht="12.75" hidden="1">
      <c r="B207" s="96" t="s">
        <v>341</v>
      </c>
      <c r="C207" s="106">
        <v>100</v>
      </c>
      <c r="D207" s="131">
        <v>0</v>
      </c>
      <c r="E207" s="106">
        <v>500</v>
      </c>
      <c r="F207" s="125" t="e">
        <f>E207-#REF!</f>
        <v>#REF!</v>
      </c>
      <c r="G207" s="93">
        <f>E207</f>
        <v>500</v>
      </c>
    </row>
    <row r="208" spans="2:7" ht="12.75" hidden="1">
      <c r="B208" s="96" t="s">
        <v>123</v>
      </c>
      <c r="C208" s="106">
        <v>2000</v>
      </c>
      <c r="D208" s="139">
        <f>'[2]Profit and Loss (2)'!B78</f>
        <v>1717.5</v>
      </c>
      <c r="E208" s="106">
        <v>2000</v>
      </c>
      <c r="F208" s="125" t="e">
        <f>E208-#REF!</f>
        <v>#REF!</v>
      </c>
      <c r="G208" s="93">
        <f>E208</f>
        <v>2000</v>
      </c>
    </row>
    <row r="209" spans="3:6" ht="12.75">
      <c r="C209" s="126"/>
      <c r="D209" s="95"/>
      <c r="E209" s="126"/>
      <c r="F209" s="132"/>
    </row>
    <row r="210" spans="1:6" ht="12.75" hidden="1">
      <c r="A210" s="74">
        <v>453</v>
      </c>
      <c r="B210" s="74" t="s">
        <v>342</v>
      </c>
      <c r="C210" s="126"/>
      <c r="D210" s="95"/>
      <c r="E210" s="126"/>
      <c r="F210" s="132"/>
    </row>
    <row r="211" spans="2:7" ht="12.75" hidden="1">
      <c r="B211" s="102" t="s">
        <v>343</v>
      </c>
      <c r="C211" s="106">
        <v>100</v>
      </c>
      <c r="D211" s="131">
        <f>'[2]Profit and Loss (2)'!B88</f>
        <v>52.5</v>
      </c>
      <c r="E211" s="106">
        <v>100</v>
      </c>
      <c r="F211" s="125" t="e">
        <f>E211-#REF!</f>
        <v>#REF!</v>
      </c>
      <c r="G211" s="93">
        <f>E211</f>
        <v>100</v>
      </c>
    </row>
    <row r="212" spans="2:7" ht="12.75" hidden="1">
      <c r="B212" s="96" t="s">
        <v>344</v>
      </c>
      <c r="C212" s="106">
        <v>100</v>
      </c>
      <c r="D212" s="131">
        <f>'[2]Profit and Loss (2)'!B86</f>
        <v>100</v>
      </c>
      <c r="E212" s="106">
        <v>100</v>
      </c>
      <c r="F212" s="125" t="e">
        <f>E212-#REF!</f>
        <v>#REF!</v>
      </c>
      <c r="G212" s="93">
        <f>E212</f>
        <v>100</v>
      </c>
    </row>
    <row r="213" spans="2:7" ht="12.75" hidden="1">
      <c r="B213" s="96" t="s">
        <v>345</v>
      </c>
      <c r="C213" s="106">
        <v>100</v>
      </c>
      <c r="D213" s="131">
        <v>0</v>
      </c>
      <c r="E213" s="106">
        <v>100</v>
      </c>
      <c r="F213" s="125" t="e">
        <f>E213-#REF!</f>
        <v>#REF!</v>
      </c>
      <c r="G213" s="93">
        <f>E213</f>
        <v>100</v>
      </c>
    </row>
    <row r="214" spans="2:7" ht="12.75" hidden="1">
      <c r="B214" s="96" t="s">
        <v>455</v>
      </c>
      <c r="C214" s="106">
        <v>100</v>
      </c>
      <c r="D214" s="131">
        <v>0</v>
      </c>
      <c r="E214" s="106">
        <v>150</v>
      </c>
      <c r="F214" s="125"/>
      <c r="G214" s="93">
        <f>E214</f>
        <v>150</v>
      </c>
    </row>
    <row r="215" spans="2:7" ht="12.75" hidden="1">
      <c r="B215" s="96" t="s">
        <v>346</v>
      </c>
      <c r="C215" s="106">
        <v>65</v>
      </c>
      <c r="D215" s="131">
        <v>0</v>
      </c>
      <c r="E215" s="106">
        <v>65</v>
      </c>
      <c r="F215" s="125" t="e">
        <f>E215-#REF!</f>
        <v>#REF!</v>
      </c>
      <c r="G215" s="93">
        <f>E215</f>
        <v>65</v>
      </c>
    </row>
    <row r="216" spans="3:6" ht="12.75" hidden="1">
      <c r="C216" s="126"/>
      <c r="D216" s="95"/>
      <c r="E216" s="126"/>
      <c r="F216" s="132"/>
    </row>
    <row r="217" spans="3:6" ht="12.75" hidden="1">
      <c r="C217" s="126"/>
      <c r="D217" s="95"/>
      <c r="E217" s="126"/>
      <c r="F217" s="132"/>
    </row>
    <row r="218" spans="1:6" ht="12.75" hidden="1">
      <c r="A218" s="140" t="s">
        <v>133</v>
      </c>
      <c r="B218" s="74" t="s">
        <v>134</v>
      </c>
      <c r="C218" s="126"/>
      <c r="D218" s="95"/>
      <c r="E218" s="126"/>
      <c r="F218" s="132"/>
    </row>
    <row r="219" spans="2:7" ht="12.75" hidden="1">
      <c r="B219" s="102" t="s">
        <v>347</v>
      </c>
      <c r="C219" s="129">
        <f>(C109+C115+C121+C131+C171+C187)*0.0765</f>
        <v>2417.4</v>
      </c>
      <c r="D219" s="131">
        <f>'[2]Profit and Loss (2)'!B92+'[2]Profit and Loss (2)'!B103</f>
        <v>1792.33</v>
      </c>
      <c r="E219" s="129">
        <f>(E109+E115+E121+E131+E187)*0.0765</f>
        <v>2532.15</v>
      </c>
      <c r="F219" s="125" t="e">
        <f>E219-#REF!</f>
        <v>#REF!</v>
      </c>
      <c r="G219" s="93">
        <f>E219</f>
        <v>2532.15</v>
      </c>
    </row>
    <row r="220" spans="2:7" ht="12.75" hidden="1">
      <c r="B220" s="102" t="s">
        <v>348</v>
      </c>
      <c r="C220" s="106">
        <v>48</v>
      </c>
      <c r="D220" s="131">
        <v>0</v>
      </c>
      <c r="E220" s="106">
        <v>50</v>
      </c>
      <c r="F220" s="125" t="e">
        <f>E220-#REF!</f>
        <v>#REF!</v>
      </c>
      <c r="G220" s="93">
        <f>E220</f>
        <v>50</v>
      </c>
    </row>
    <row r="221" spans="3:6" ht="12.75">
      <c r="C221" s="126"/>
      <c r="D221" s="95"/>
      <c r="E221" s="126"/>
      <c r="F221" s="132"/>
    </row>
    <row r="222" spans="3:6" ht="12.75">
      <c r="C222" s="126"/>
      <c r="D222" s="95"/>
      <c r="E222" s="126"/>
      <c r="F222" s="132"/>
    </row>
    <row r="223" spans="1:8" ht="12.75">
      <c r="A223" s="74">
        <v>484</v>
      </c>
      <c r="B223" s="74" t="s">
        <v>121</v>
      </c>
      <c r="C223" s="126"/>
      <c r="D223" s="95"/>
      <c r="E223" s="126"/>
      <c r="F223" s="132"/>
      <c r="H223" s="137"/>
    </row>
    <row r="224" spans="2:7" ht="12.75">
      <c r="B224" s="102" t="s">
        <v>349</v>
      </c>
      <c r="C224" s="106">
        <v>3500</v>
      </c>
      <c r="D224" s="131">
        <f>'[2]Profit and Loss (2)'!B95</f>
        <v>3248</v>
      </c>
      <c r="E224" s="106">
        <v>3600</v>
      </c>
      <c r="F224" s="125" t="e">
        <f>E224-#REF!</f>
        <v>#REF!</v>
      </c>
      <c r="G224" s="93">
        <f>E224</f>
        <v>3600</v>
      </c>
    </row>
    <row r="225" spans="2:7" ht="12.75">
      <c r="B225" s="102" t="s">
        <v>350</v>
      </c>
      <c r="C225" s="106">
        <v>1950</v>
      </c>
      <c r="D225" s="131">
        <f>'[2]Profit and Loss (2)'!B94</f>
        <v>1923</v>
      </c>
      <c r="E225" s="106">
        <v>2000</v>
      </c>
      <c r="F225" s="125" t="e">
        <f>E225-#REF!</f>
        <v>#REF!</v>
      </c>
      <c r="G225" s="93">
        <f>E225</f>
        <v>2000</v>
      </c>
    </row>
    <row r="226" spans="2:7" ht="12.75">
      <c r="B226" s="102" t="s">
        <v>351</v>
      </c>
      <c r="C226" s="106">
        <v>3210</v>
      </c>
      <c r="D226" s="131">
        <f>'[2]Profit and Loss (2)'!B93</f>
        <v>2926</v>
      </c>
      <c r="E226" s="106">
        <v>3300</v>
      </c>
      <c r="F226" s="125" t="e">
        <f>E226-#REF!</f>
        <v>#REF!</v>
      </c>
      <c r="G226" s="93">
        <f>E226</f>
        <v>3300</v>
      </c>
    </row>
    <row r="227" spans="2:7" ht="12.75">
      <c r="B227" s="74"/>
      <c r="C227" s="126"/>
      <c r="D227" s="95"/>
      <c r="E227" s="126"/>
      <c r="F227" s="141"/>
      <c r="G227" s="142"/>
    </row>
    <row r="228" spans="3:6" ht="12.75">
      <c r="C228" s="126"/>
      <c r="D228" s="95"/>
      <c r="E228" s="126"/>
      <c r="F228" s="141"/>
    </row>
    <row r="229" spans="1:6" ht="12.75">
      <c r="A229" s="74">
        <v>455</v>
      </c>
      <c r="B229" s="74" t="s">
        <v>129</v>
      </c>
      <c r="C229" s="126"/>
      <c r="D229" s="95"/>
      <c r="E229" s="126"/>
      <c r="F229" s="132"/>
    </row>
    <row r="230" spans="2:7" ht="12.75">
      <c r="B230" s="102" t="s">
        <v>353</v>
      </c>
      <c r="C230" s="106">
        <f>C91</f>
        <v>21489</v>
      </c>
      <c r="D230" s="131">
        <v>0</v>
      </c>
      <c r="E230" s="106">
        <f>E91+E92</f>
        <v>22619.16</v>
      </c>
      <c r="F230" s="125"/>
      <c r="G230" s="93"/>
    </row>
    <row r="231" spans="2:9" ht="12.75">
      <c r="B231" s="102" t="s">
        <v>354</v>
      </c>
      <c r="C231" s="106"/>
      <c r="D231" s="131">
        <f>'[2]Profit and Loss (2)'!B101</f>
        <v>16038.09</v>
      </c>
      <c r="E231" s="106">
        <v>0</v>
      </c>
      <c r="F231" s="125"/>
      <c r="G231" s="93"/>
      <c r="I231" s="105"/>
    </row>
    <row r="232" spans="2:8" ht="12.75">
      <c r="B232" s="102" t="s">
        <v>355</v>
      </c>
      <c r="C232" s="106"/>
      <c r="D232" s="131">
        <v>0</v>
      </c>
      <c r="E232" s="106">
        <v>0</v>
      </c>
      <c r="F232" s="125" t="e">
        <f>E232-#REF!</f>
        <v>#REF!</v>
      </c>
      <c r="G232" s="93">
        <f aca="true" t="shared" si="5" ref="G232:G237">E232</f>
        <v>0</v>
      </c>
      <c r="H232" s="75" t="s">
        <v>352</v>
      </c>
    </row>
    <row r="233" spans="2:8" ht="12.75">
      <c r="B233" s="102" t="s">
        <v>356</v>
      </c>
      <c r="C233" s="106"/>
      <c r="D233" s="131">
        <v>0</v>
      </c>
      <c r="E233" s="106">
        <v>0</v>
      </c>
      <c r="F233" s="125" t="e">
        <f>E233-#REF!</f>
        <v>#REF!</v>
      </c>
      <c r="G233" s="93">
        <f t="shared" si="5"/>
        <v>0</v>
      </c>
      <c r="H233" s="75" t="s">
        <v>352</v>
      </c>
    </row>
    <row r="234" spans="3:7" ht="12.75">
      <c r="C234" s="126"/>
      <c r="D234" s="95"/>
      <c r="E234" s="126"/>
      <c r="F234" s="132"/>
      <c r="G234" s="142">
        <f t="shared" si="5"/>
        <v>0</v>
      </c>
    </row>
    <row r="235" spans="1:7" ht="12.75">
      <c r="A235" s="74">
        <v>492</v>
      </c>
      <c r="B235" s="101" t="s">
        <v>357</v>
      </c>
      <c r="C235" s="106">
        <f>730*12</f>
        <v>8760</v>
      </c>
      <c r="D235" s="131">
        <v>0</v>
      </c>
      <c r="E235" s="106">
        <f>E10</f>
        <v>8760</v>
      </c>
      <c r="F235" s="132"/>
      <c r="G235" s="93">
        <f t="shared" si="5"/>
        <v>8760</v>
      </c>
    </row>
    <row r="236" spans="3:7" ht="12.75">
      <c r="C236" s="126"/>
      <c r="D236" s="95"/>
      <c r="E236" s="126"/>
      <c r="F236" s="132"/>
      <c r="G236" s="76">
        <f t="shared" si="5"/>
        <v>0</v>
      </c>
    </row>
    <row r="237" spans="1:7" ht="12.75">
      <c r="A237" s="74">
        <v>500</v>
      </c>
      <c r="B237" s="101" t="s">
        <v>358</v>
      </c>
      <c r="C237" s="106"/>
      <c r="D237" s="131">
        <v>0</v>
      </c>
      <c r="E237" s="106">
        <v>0</v>
      </c>
      <c r="F237" s="143"/>
      <c r="G237" s="93">
        <f t="shared" si="5"/>
        <v>0</v>
      </c>
    </row>
    <row r="238" spans="3:6" ht="12.75">
      <c r="C238" s="126"/>
      <c r="D238" s="95"/>
      <c r="E238" s="126"/>
      <c r="F238" s="125" t="e">
        <f>E238-#REF!</f>
        <v>#REF!</v>
      </c>
    </row>
    <row r="239" spans="3:6" ht="12.75">
      <c r="C239" s="126"/>
      <c r="D239" s="95"/>
      <c r="E239" s="126"/>
      <c r="F239" s="125" t="e">
        <f>E239-#REF!</f>
        <v>#REF!</v>
      </c>
    </row>
    <row r="240" spans="3:7" ht="12.75">
      <c r="C240" s="144"/>
      <c r="D240" s="109"/>
      <c r="E240" s="144"/>
      <c r="F240" s="145"/>
      <c r="G240" s="144"/>
    </row>
    <row r="241" spans="2:9" ht="12.75">
      <c r="B241" s="112" t="s">
        <v>359</v>
      </c>
      <c r="C241" s="115">
        <f>SUM(C109:C239)</f>
        <v>253232.68</v>
      </c>
      <c r="D241" s="115">
        <f>SUM(D109:D239)</f>
        <v>199423.87</v>
      </c>
      <c r="E241" s="115">
        <f>SUM(E109:E239)</f>
        <v>261861.66999999998</v>
      </c>
      <c r="F241" s="115" t="e">
        <f>SUM(F109:F239)</f>
        <v>#REF!</v>
      </c>
      <c r="G241" s="110">
        <f>SUM(G109:G239)</f>
        <v>221827.50999999998</v>
      </c>
      <c r="H241" s="146"/>
      <c r="I241" s="107"/>
    </row>
    <row r="242" spans="2:7" ht="12.75">
      <c r="B242" s="112" t="s">
        <v>456</v>
      </c>
      <c r="C242" s="147">
        <f>SUM(+C232+C233+C235+C168+C230+C179+C231)</f>
        <v>77791</v>
      </c>
      <c r="D242" s="147">
        <f>SUM(D232+D233+D235+D168+D230+D179+D231)</f>
        <v>56026.66</v>
      </c>
      <c r="E242" s="147">
        <f>E230+E235</f>
        <v>31379.16</v>
      </c>
      <c r="F242" s="147" t="e">
        <f>F239+F238+F233+F168+#REF!+#REF!+#REF!+#REF!+F232</f>
        <v>#REF!</v>
      </c>
      <c r="G242" s="110" t="e">
        <f>G239+G238+G233+G168+#REF!+#REF!+#REF!+#REF!+G232</f>
        <v>#REF!</v>
      </c>
    </row>
    <row r="243" spans="2:7" ht="12.75">
      <c r="B243" s="112" t="s">
        <v>457</v>
      </c>
      <c r="C243" s="148"/>
      <c r="D243" s="148"/>
      <c r="E243" s="148">
        <f>E168</f>
        <v>2735</v>
      </c>
      <c r="F243" s="148"/>
      <c r="G243" s="124"/>
    </row>
    <row r="244" spans="2:7" ht="12.75">
      <c r="B244" s="112" t="s">
        <v>458</v>
      </c>
      <c r="C244" s="148"/>
      <c r="D244" s="148"/>
      <c r="E244" s="148">
        <f>E179+E180</f>
        <v>49694.24</v>
      </c>
      <c r="F244" s="148"/>
      <c r="G244" s="124"/>
    </row>
    <row r="245" spans="2:7" ht="13.5" thickBot="1">
      <c r="B245" s="112" t="s">
        <v>360</v>
      </c>
      <c r="C245" s="149">
        <f>C241-C242</f>
        <v>175441.68</v>
      </c>
      <c r="D245" s="149">
        <f>D241-D242</f>
        <v>143397.21</v>
      </c>
      <c r="E245" s="149">
        <f>E241-E242-E244-E243</f>
        <v>178053.27</v>
      </c>
      <c r="F245" s="149" t="e">
        <f>F241-F242</f>
        <v>#REF!</v>
      </c>
      <c r="G245" s="150" t="e">
        <f>G241-G242</f>
        <v>#REF!</v>
      </c>
    </row>
    <row r="246" ht="13.5" thickTop="1">
      <c r="C246" s="77"/>
    </row>
    <row r="247" ht="12.75">
      <c r="C247" s="77"/>
    </row>
    <row r="248" spans="2:8" ht="12.75">
      <c r="B248" s="75" t="s">
        <v>361</v>
      </c>
      <c r="C248" s="151">
        <f>C95-C241</f>
        <v>2.320000000006985</v>
      </c>
      <c r="D248" s="151">
        <f>D95-D241</f>
        <v>40456.76999999996</v>
      </c>
      <c r="E248" s="152">
        <f>E241-E95</f>
        <v>-0.26200000004610047</v>
      </c>
      <c r="F248" s="152" t="e">
        <f>F95-F241</f>
        <v>#REF!</v>
      </c>
      <c r="G248" s="153">
        <f>G95-G241</f>
        <v>23674.42200000005</v>
      </c>
      <c r="H248" s="107"/>
    </row>
    <row r="249" spans="2:7" ht="12.75">
      <c r="B249" s="75" t="s">
        <v>459</v>
      </c>
      <c r="C249" s="152">
        <f>C96-C242</f>
        <v>-7554</v>
      </c>
      <c r="D249" s="152">
        <f>D96-D242</f>
        <v>9078.829999999994</v>
      </c>
      <c r="E249" s="152">
        <f>E96-E242</f>
        <v>0</v>
      </c>
      <c r="F249" s="152" t="e">
        <f>F96-F242</f>
        <v>#REF!</v>
      </c>
      <c r="G249" s="153" t="e">
        <f>G96-G242</f>
        <v>#REF!</v>
      </c>
    </row>
    <row r="250" spans="2:7" ht="12.75">
      <c r="B250" s="75" t="s">
        <v>460</v>
      </c>
      <c r="C250" s="154"/>
      <c r="D250" s="154"/>
      <c r="E250" s="154">
        <f>E97-E243</f>
        <v>0</v>
      </c>
      <c r="F250" s="154"/>
      <c r="G250" s="153"/>
    </row>
    <row r="251" spans="2:7" ht="12.75">
      <c r="B251" s="75" t="s">
        <v>461</v>
      </c>
      <c r="C251" s="154"/>
      <c r="D251" s="154"/>
      <c r="E251" s="154">
        <f>E98-E244</f>
        <v>-3694.239999999998</v>
      </c>
      <c r="F251" s="154"/>
      <c r="G251" s="153"/>
    </row>
    <row r="252" spans="2:7" ht="13.5" thickBot="1">
      <c r="B252" s="75" t="s">
        <v>362</v>
      </c>
      <c r="C252" s="149">
        <f>C248-C249</f>
        <v>7556.320000000007</v>
      </c>
      <c r="D252" s="149">
        <f>D248-D249</f>
        <v>31377.939999999966</v>
      </c>
      <c r="E252" s="155">
        <f>E99-E245</f>
        <v>3694.502000000037</v>
      </c>
      <c r="F252" s="155" t="e">
        <f>F99-F245</f>
        <v>#REF!</v>
      </c>
      <c r="G252" s="153" t="e">
        <f>G99-G245</f>
        <v>#REF!</v>
      </c>
    </row>
    <row r="253" ht="13.5" thickTop="1">
      <c r="C253" s="156"/>
    </row>
    <row r="254" ht="12.75">
      <c r="E254" s="156"/>
    </row>
    <row r="256" spans="3:5" ht="12.75">
      <c r="C256" s="157"/>
      <c r="E256" s="156"/>
    </row>
    <row r="257" ht="12.75">
      <c r="F257" s="156"/>
    </row>
    <row r="262" ht="12.75">
      <c r="E262" s="156"/>
    </row>
    <row r="264" ht="12.75">
      <c r="E264" s="156"/>
    </row>
  </sheetData>
  <sheetProtection/>
  <mergeCells count="2">
    <mergeCell ref="A2:G3"/>
    <mergeCell ref="A102:G103"/>
  </mergeCells>
  <printOptions/>
  <pageMargins left="0.75" right="0.75" top="1" bottom="1" header="0.5" footer="0.5"/>
  <pageSetup fitToHeight="3" fitToWidth="1" horizontalDpi="600" verticalDpi="600" orientation="landscape" scale="70" r:id="rId1"/>
  <rowBreaks count="2" manualBreakCount="2">
    <brk id="199" max="255" man="1"/>
    <brk id="2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80">
      <selection activeCell="B83" sqref="B83"/>
    </sheetView>
  </sheetViews>
  <sheetFormatPr defaultColWidth="9.140625" defaultRowHeight="12.75"/>
  <cols>
    <col min="1" max="1" width="50.140625" style="0" bestFit="1" customWidth="1"/>
    <col min="2" max="2" width="10.00390625" style="73" bestFit="1" customWidth="1"/>
  </cols>
  <sheetData>
    <row r="1" ht="14.25" hidden="1">
      <c r="A1" t="s">
        <v>142</v>
      </c>
    </row>
    <row r="2" ht="14.25" hidden="1">
      <c r="A2" t="s">
        <v>144</v>
      </c>
    </row>
    <row r="3" ht="14.25" hidden="1">
      <c r="A3" t="s">
        <v>491</v>
      </c>
    </row>
    <row r="4" ht="14.25" hidden="1"/>
    <row r="5" ht="14.25" hidden="1">
      <c r="B5" s="73" t="s">
        <v>145</v>
      </c>
    </row>
    <row r="6" ht="14.25" hidden="1">
      <c r="A6" t="s">
        <v>146</v>
      </c>
    </row>
    <row r="7" spans="1:2" ht="14.25" hidden="1">
      <c r="A7" t="s">
        <v>483</v>
      </c>
      <c r="B7" s="73">
        <v>94447.7</v>
      </c>
    </row>
    <row r="8" spans="1:2" ht="14.25" hidden="1">
      <c r="A8" t="s">
        <v>363</v>
      </c>
      <c r="B8" s="73">
        <v>2116.4</v>
      </c>
    </row>
    <row r="9" spans="1:2" ht="14.25" hidden="1">
      <c r="A9" t="s">
        <v>364</v>
      </c>
      <c r="B9" s="73">
        <v>10511.54</v>
      </c>
    </row>
    <row r="10" spans="1:2" ht="14.25" hidden="1">
      <c r="A10" t="s">
        <v>484</v>
      </c>
      <c r="B10" s="73">
        <v>515</v>
      </c>
    </row>
    <row r="11" spans="1:2" ht="14.25" hidden="1">
      <c r="A11" t="s">
        <v>485</v>
      </c>
      <c r="B11" s="73">
        <v>825</v>
      </c>
    </row>
    <row r="12" spans="1:2" ht="14.25" hidden="1">
      <c r="A12" t="s">
        <v>365</v>
      </c>
      <c r="B12" s="73">
        <v>5.5</v>
      </c>
    </row>
    <row r="13" spans="1:2" ht="14.25" hidden="1">
      <c r="A13" t="s">
        <v>472</v>
      </c>
      <c r="B13" s="73">
        <v>1681.4</v>
      </c>
    </row>
    <row r="14" spans="1:2" ht="14.25" hidden="1">
      <c r="A14" t="s">
        <v>366</v>
      </c>
      <c r="B14" s="73">
        <v>20941.97</v>
      </c>
    </row>
    <row r="15" spans="1:2" ht="14.25" hidden="1">
      <c r="A15" t="s">
        <v>463</v>
      </c>
      <c r="B15" s="73">
        <v>1198.8</v>
      </c>
    </row>
    <row r="16" spans="1:2" ht="14.25" hidden="1">
      <c r="A16" t="s">
        <v>367</v>
      </c>
      <c r="B16" s="73">
        <v>235.15</v>
      </c>
    </row>
    <row r="17" spans="1:2" ht="14.25" hidden="1">
      <c r="A17" t="s">
        <v>473</v>
      </c>
      <c r="B17" s="73">
        <v>292.92</v>
      </c>
    </row>
    <row r="18" spans="1:2" ht="14.25" hidden="1">
      <c r="A18" t="s">
        <v>368</v>
      </c>
      <c r="B18" s="73">
        <v>415.79</v>
      </c>
    </row>
    <row r="19" spans="1:2" ht="14.25" hidden="1">
      <c r="A19" t="s">
        <v>369</v>
      </c>
      <c r="B19" s="73">
        <v>412.09</v>
      </c>
    </row>
    <row r="20" spans="1:2" ht="14.25" hidden="1">
      <c r="A20" t="s">
        <v>370</v>
      </c>
      <c r="B20" s="73">
        <v>158.05</v>
      </c>
    </row>
    <row r="21" spans="1:2" ht="14.25" hidden="1">
      <c r="A21" t="s">
        <v>371</v>
      </c>
      <c r="B21" s="73">
        <v>570.14</v>
      </c>
    </row>
    <row r="22" spans="1:2" ht="14.25" hidden="1">
      <c r="A22" t="s">
        <v>474</v>
      </c>
      <c r="B22" s="73">
        <v>12</v>
      </c>
    </row>
    <row r="23" spans="1:2" ht="14.25" hidden="1">
      <c r="A23" t="s">
        <v>464</v>
      </c>
      <c r="B23" s="73">
        <v>800</v>
      </c>
    </row>
    <row r="24" spans="1:2" ht="14.25" hidden="1">
      <c r="A24" t="s">
        <v>492</v>
      </c>
      <c r="B24" s="73">
        <v>200</v>
      </c>
    </row>
    <row r="25" spans="1:2" ht="14.25" hidden="1">
      <c r="A25" t="s">
        <v>477</v>
      </c>
      <c r="B25" s="73">
        <v>222.86</v>
      </c>
    </row>
    <row r="26" spans="1:2" ht="14.25" hidden="1">
      <c r="A26" t="s">
        <v>486</v>
      </c>
      <c r="B26" s="73">
        <v>10494.19</v>
      </c>
    </row>
    <row r="27" spans="1:2" ht="14.25" hidden="1">
      <c r="A27" t="s">
        <v>372</v>
      </c>
      <c r="B27" s="73">
        <v>235.16</v>
      </c>
    </row>
    <row r="28" spans="1:2" ht="14.25" hidden="1">
      <c r="A28" t="s">
        <v>373</v>
      </c>
      <c r="B28" s="73">
        <v>35327.07</v>
      </c>
    </row>
    <row r="29" spans="1:2" ht="14.25" hidden="1">
      <c r="A29" t="s">
        <v>374</v>
      </c>
      <c r="B29" s="73">
        <v>6644.54</v>
      </c>
    </row>
    <row r="30" spans="1:2" ht="14.25" hidden="1">
      <c r="A30" t="s">
        <v>487</v>
      </c>
      <c r="B30" s="73">
        <v>-1876.86</v>
      </c>
    </row>
    <row r="31" spans="1:2" ht="14.25" hidden="1">
      <c r="A31" t="s">
        <v>488</v>
      </c>
      <c r="B31" s="73">
        <v>-208.55</v>
      </c>
    </row>
    <row r="32" spans="1:2" ht="14.25" hidden="1">
      <c r="A32" t="s">
        <v>489</v>
      </c>
      <c r="B32" s="73">
        <v>-10</v>
      </c>
    </row>
    <row r="33" spans="1:2" ht="14.25" hidden="1">
      <c r="A33" t="s">
        <v>490</v>
      </c>
      <c r="B33" s="73">
        <v>-16.1</v>
      </c>
    </row>
    <row r="34" spans="1:2" ht="14.25" hidden="1">
      <c r="A34" t="s">
        <v>465</v>
      </c>
      <c r="B34" s="73">
        <v>23071.62</v>
      </c>
    </row>
    <row r="35" spans="1:2" ht="14.25" hidden="1">
      <c r="A35" t="s">
        <v>375</v>
      </c>
      <c r="B35" s="73">
        <v>346.5</v>
      </c>
    </row>
    <row r="36" spans="1:2" ht="14.25" hidden="1">
      <c r="A36" t="s">
        <v>478</v>
      </c>
      <c r="B36" s="73">
        <v>137.64</v>
      </c>
    </row>
    <row r="37" spans="1:2" ht="14.25" hidden="1">
      <c r="A37" t="s">
        <v>376</v>
      </c>
      <c r="B37" s="73">
        <v>298.24</v>
      </c>
    </row>
    <row r="38" spans="1:2" ht="14.25" hidden="1">
      <c r="A38" t="s">
        <v>377</v>
      </c>
      <c r="B38" s="73">
        <v>1167.96</v>
      </c>
    </row>
    <row r="39" spans="1:2" ht="14.25" hidden="1">
      <c r="A39" t="s">
        <v>153</v>
      </c>
      <c r="B39" s="73">
        <v>210603.58000000002</v>
      </c>
    </row>
    <row r="40" spans="1:2" ht="14.25" hidden="1">
      <c r="A40" t="s">
        <v>378</v>
      </c>
      <c r="B40" s="73">
        <v>210603.58000000002</v>
      </c>
    </row>
    <row r="41" ht="14.25">
      <c r="A41" t="s">
        <v>154</v>
      </c>
    </row>
    <row r="42" spans="1:2" ht="14.25">
      <c r="A42" t="s">
        <v>379</v>
      </c>
      <c r="B42" s="73">
        <v>2750</v>
      </c>
    </row>
    <row r="43" spans="1:2" ht="14.25">
      <c r="A43" t="s">
        <v>493</v>
      </c>
      <c r="B43" s="73">
        <v>49</v>
      </c>
    </row>
    <row r="44" spans="1:2" ht="14.25">
      <c r="A44" t="s">
        <v>380</v>
      </c>
      <c r="B44" s="73">
        <v>300</v>
      </c>
    </row>
    <row r="45" spans="1:2" ht="14.25">
      <c r="A45" t="s">
        <v>494</v>
      </c>
      <c r="B45" s="73">
        <v>160</v>
      </c>
    </row>
    <row r="46" spans="1:2" ht="14.25">
      <c r="A46" t="s">
        <v>381</v>
      </c>
      <c r="B46" s="73">
        <v>1462.64</v>
      </c>
    </row>
    <row r="47" spans="1:2" ht="14.25">
      <c r="A47" t="s">
        <v>382</v>
      </c>
      <c r="B47" s="73">
        <v>800</v>
      </c>
    </row>
    <row r="48" spans="1:2" ht="14.25">
      <c r="A48" t="s">
        <v>431</v>
      </c>
      <c r="B48" s="73">
        <v>50</v>
      </c>
    </row>
    <row r="49" spans="1:2" ht="14.25">
      <c r="A49" t="s">
        <v>383</v>
      </c>
      <c r="B49" s="73">
        <v>2000</v>
      </c>
    </row>
    <row r="50" spans="1:2" ht="14.25">
      <c r="A50" t="s">
        <v>479</v>
      </c>
      <c r="B50" s="73">
        <v>314.69</v>
      </c>
    </row>
    <row r="51" spans="1:2" ht="14.25">
      <c r="A51" t="s">
        <v>384</v>
      </c>
      <c r="B51" s="73">
        <v>1772</v>
      </c>
    </row>
    <row r="52" spans="1:2" ht="14.25">
      <c r="A52" t="s">
        <v>385</v>
      </c>
      <c r="B52" s="73">
        <v>4736</v>
      </c>
    </row>
    <row r="53" spans="1:2" ht="14.25">
      <c r="A53" t="s">
        <v>386</v>
      </c>
      <c r="B53" s="73">
        <v>617.48</v>
      </c>
    </row>
    <row r="54" spans="1:2" ht="14.25">
      <c r="A54" t="s">
        <v>387</v>
      </c>
      <c r="B54" s="73">
        <v>682.02</v>
      </c>
    </row>
    <row r="55" spans="1:2" ht="14.25">
      <c r="A55" t="s">
        <v>388</v>
      </c>
      <c r="B55" s="73">
        <v>284.67</v>
      </c>
    </row>
    <row r="56" spans="1:2" ht="14.25">
      <c r="A56" t="s">
        <v>480</v>
      </c>
      <c r="B56" s="73">
        <v>22.05</v>
      </c>
    </row>
    <row r="57" spans="1:2" ht="14.25">
      <c r="A57" t="s">
        <v>466</v>
      </c>
      <c r="B57" s="73">
        <v>339.4</v>
      </c>
    </row>
    <row r="58" spans="1:2" ht="14.25">
      <c r="A58" t="s">
        <v>495</v>
      </c>
      <c r="B58" s="73">
        <v>750</v>
      </c>
    </row>
    <row r="59" spans="1:2" ht="14.25">
      <c r="A59" t="s">
        <v>467</v>
      </c>
      <c r="B59" s="73">
        <v>165.21</v>
      </c>
    </row>
    <row r="60" spans="1:2" ht="14.25">
      <c r="A60" t="s">
        <v>389</v>
      </c>
      <c r="B60" s="73">
        <v>355.65</v>
      </c>
    </row>
    <row r="61" spans="1:2" ht="14.25">
      <c r="A61" t="s">
        <v>390</v>
      </c>
      <c r="B61" s="73">
        <v>478.55</v>
      </c>
    </row>
    <row r="62" spans="1:2" ht="14.25">
      <c r="A62" t="s">
        <v>391</v>
      </c>
      <c r="B62" s="73">
        <v>653.81</v>
      </c>
    </row>
    <row r="63" spans="1:2" ht="14.25">
      <c r="A63" t="s">
        <v>392</v>
      </c>
      <c r="B63" s="73">
        <v>1176.99</v>
      </c>
    </row>
    <row r="64" spans="1:2" ht="14.25">
      <c r="A64" t="s">
        <v>496</v>
      </c>
      <c r="B64" s="73">
        <v>480</v>
      </c>
    </row>
    <row r="65" spans="1:2" ht="14.25">
      <c r="A65" t="s">
        <v>393</v>
      </c>
      <c r="B65" s="73">
        <v>4752</v>
      </c>
    </row>
    <row r="66" spans="1:2" ht="14.25">
      <c r="A66" t="s">
        <v>481</v>
      </c>
      <c r="B66" s="73">
        <v>72.48</v>
      </c>
    </row>
    <row r="67" spans="1:2" ht="14.25">
      <c r="A67" t="s">
        <v>394</v>
      </c>
      <c r="B67" s="73">
        <v>892.26</v>
      </c>
    </row>
    <row r="68" spans="1:2" ht="14.25">
      <c r="A68" t="s">
        <v>468</v>
      </c>
      <c r="B68" s="73">
        <v>355.57</v>
      </c>
    </row>
    <row r="69" spans="1:2" ht="14.25">
      <c r="A69" t="s">
        <v>475</v>
      </c>
      <c r="B69" s="73">
        <v>2095.12</v>
      </c>
    </row>
    <row r="70" spans="1:2" ht="14.25">
      <c r="A70" t="s">
        <v>395</v>
      </c>
      <c r="B70" s="73">
        <v>1981.26</v>
      </c>
    </row>
    <row r="71" spans="1:2" ht="14.25">
      <c r="A71" t="s">
        <v>396</v>
      </c>
      <c r="B71" s="73">
        <v>5742.36</v>
      </c>
    </row>
    <row r="72" spans="1:2" ht="14.25">
      <c r="A72" t="s">
        <v>476</v>
      </c>
      <c r="B72" s="73">
        <v>100</v>
      </c>
    </row>
    <row r="73" spans="1:2" ht="14.25">
      <c r="A73" t="s">
        <v>497</v>
      </c>
      <c r="B73" s="73">
        <v>200</v>
      </c>
    </row>
    <row r="74" spans="1:2" ht="14.25">
      <c r="A74" t="s">
        <v>498</v>
      </c>
      <c r="B74" s="73">
        <v>200</v>
      </c>
    </row>
    <row r="75" spans="1:2" ht="14.25">
      <c r="A75" t="s">
        <v>397</v>
      </c>
      <c r="B75" s="73">
        <v>1923.47</v>
      </c>
    </row>
    <row r="76" spans="1:2" ht="14.25">
      <c r="A76" t="s">
        <v>398</v>
      </c>
      <c r="B76" s="73">
        <v>37225.65</v>
      </c>
    </row>
    <row r="77" spans="1:2" ht="14.25">
      <c r="A77" t="s">
        <v>399</v>
      </c>
      <c r="B77" s="73">
        <v>2726.56</v>
      </c>
    </row>
    <row r="78" spans="1:2" ht="14.25">
      <c r="A78" t="s">
        <v>400</v>
      </c>
      <c r="B78" s="73">
        <v>1144.69</v>
      </c>
    </row>
    <row r="79" spans="1:2" ht="14.25">
      <c r="A79" t="s">
        <v>469</v>
      </c>
      <c r="B79" s="73">
        <v>9946</v>
      </c>
    </row>
    <row r="80" spans="1:2" ht="14.25">
      <c r="A80" t="s">
        <v>470</v>
      </c>
      <c r="B80" s="73">
        <v>4604</v>
      </c>
    </row>
    <row r="81" spans="1:2" ht="14.25">
      <c r="A81" t="s">
        <v>401</v>
      </c>
      <c r="B81" s="73">
        <v>689.08</v>
      </c>
    </row>
    <row r="82" spans="1:2" ht="14.25">
      <c r="A82" t="s">
        <v>402</v>
      </c>
      <c r="B82" s="73">
        <v>26071.64</v>
      </c>
    </row>
    <row r="83" spans="1:2" ht="14.25">
      <c r="A83" t="s">
        <v>499</v>
      </c>
      <c r="B83" s="73">
        <v>1062.92</v>
      </c>
    </row>
    <row r="84" spans="1:2" ht="14.25">
      <c r="A84" t="s">
        <v>471</v>
      </c>
      <c r="B84" s="73">
        <v>5916.34</v>
      </c>
    </row>
    <row r="85" ht="14.25">
      <c r="A85" t="s">
        <v>403</v>
      </c>
    </row>
    <row r="86" spans="1:2" ht="14.25">
      <c r="A86" t="s">
        <v>404</v>
      </c>
      <c r="B86" s="73">
        <v>5.73</v>
      </c>
    </row>
    <row r="87" spans="1:2" ht="14.25">
      <c r="A87" t="s">
        <v>405</v>
      </c>
      <c r="B87" s="73">
        <v>0</v>
      </c>
    </row>
    <row r="88" spans="1:2" ht="14.25">
      <c r="A88" t="s">
        <v>406</v>
      </c>
      <c r="B88" s="73">
        <v>5.73</v>
      </c>
    </row>
    <row r="89" spans="1:4" ht="14.25">
      <c r="A89" t="s">
        <v>407</v>
      </c>
      <c r="B89" s="73">
        <v>149.65</v>
      </c>
      <c r="C89">
        <f>52.5*2</f>
        <v>105</v>
      </c>
      <c r="D89" s="159">
        <f>B89-C89</f>
        <v>44.650000000000006</v>
      </c>
    </row>
    <row r="90" spans="1:2" ht="14.25">
      <c r="A90" t="s">
        <v>157</v>
      </c>
      <c r="B90" s="73">
        <v>128256.93999999997</v>
      </c>
    </row>
    <row r="91" spans="1:2" ht="14.25">
      <c r="A91" t="s">
        <v>408</v>
      </c>
      <c r="B91" s="73">
        <v>82346.64000000004</v>
      </c>
    </row>
    <row r="92" ht="14.25">
      <c r="A92" t="s">
        <v>409</v>
      </c>
    </row>
    <row r="93" spans="1:2" ht="14.25">
      <c r="A93" t="s">
        <v>410</v>
      </c>
      <c r="B93" s="73">
        <v>0.02</v>
      </c>
    </row>
    <row r="94" spans="1:2" ht="14.25">
      <c r="A94" t="s">
        <v>411</v>
      </c>
      <c r="B94" s="73">
        <v>0.02</v>
      </c>
    </row>
    <row r="95" spans="1:2" ht="14.25">
      <c r="A95" t="s">
        <v>412</v>
      </c>
      <c r="B95" s="73">
        <v>-0.02</v>
      </c>
    </row>
    <row r="96" spans="1:2" ht="14.25">
      <c r="A96" t="s">
        <v>413</v>
      </c>
      <c r="B96" s="73">
        <v>82346.62000000004</v>
      </c>
    </row>
    <row r="100" ht="14.25">
      <c r="A100" t="s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61">
      <selection activeCell="C105" sqref="C105"/>
    </sheetView>
  </sheetViews>
  <sheetFormatPr defaultColWidth="9.140625" defaultRowHeight="12.75"/>
  <cols>
    <col min="1" max="1" width="50.7109375" style="0" customWidth="1"/>
    <col min="2" max="2" width="16.28125" style="0" customWidth="1"/>
    <col min="3" max="3" width="11.140625" style="0" bestFit="1" customWidth="1"/>
  </cols>
  <sheetData>
    <row r="1" spans="1:2" ht="17.25">
      <c r="A1" s="237" t="s">
        <v>142</v>
      </c>
      <c r="B1" s="222"/>
    </row>
    <row r="2" spans="1:2" ht="17.25">
      <c r="A2" s="237" t="s">
        <v>144</v>
      </c>
      <c r="B2" s="222"/>
    </row>
    <row r="3" spans="1:2" ht="12.75">
      <c r="A3" s="238" t="s">
        <v>512</v>
      </c>
      <c r="B3" s="222"/>
    </row>
    <row r="5" spans="1:2" ht="12.75">
      <c r="A5" s="239"/>
      <c r="B5" s="240" t="s">
        <v>145</v>
      </c>
    </row>
    <row r="6" spans="1:2" ht="12.75">
      <c r="A6" s="161" t="s">
        <v>146</v>
      </c>
      <c r="B6" s="241"/>
    </row>
    <row r="7" spans="1:2" ht="12.75">
      <c r="A7" s="161" t="s">
        <v>483</v>
      </c>
      <c r="B7" s="162">
        <f>101790.79</f>
        <v>101790.79</v>
      </c>
    </row>
    <row r="8" spans="1:2" ht="12.75">
      <c r="A8" s="161" t="s">
        <v>513</v>
      </c>
      <c r="B8" s="162">
        <f>-1876.86</f>
        <v>-1876.86</v>
      </c>
    </row>
    <row r="9" spans="1:2" ht="12.75">
      <c r="A9" s="161" t="s">
        <v>363</v>
      </c>
      <c r="B9" s="162">
        <f>2116.4</f>
        <v>2116.4</v>
      </c>
    </row>
    <row r="10" spans="1:2" ht="12.75">
      <c r="A10" s="161" t="s">
        <v>364</v>
      </c>
      <c r="B10" s="162">
        <f>12982.47</f>
        <v>12982.47</v>
      </c>
    </row>
    <row r="11" spans="1:2" ht="12.75">
      <c r="A11" s="161" t="s">
        <v>484</v>
      </c>
      <c r="B11" s="162">
        <f>565</f>
        <v>565</v>
      </c>
    </row>
    <row r="12" spans="1:2" ht="12.75">
      <c r="A12" s="161" t="s">
        <v>514</v>
      </c>
      <c r="B12" s="162">
        <f>-10.3</f>
        <v>-10.3</v>
      </c>
    </row>
    <row r="13" spans="1:2" ht="12.75">
      <c r="A13" s="161" t="s">
        <v>485</v>
      </c>
      <c r="B13" s="162">
        <f>920</f>
        <v>920</v>
      </c>
    </row>
    <row r="14" spans="1:2" ht="12.75">
      <c r="A14" s="161" t="s">
        <v>365</v>
      </c>
      <c r="B14" s="162">
        <f>5.5</f>
        <v>5.5</v>
      </c>
    </row>
    <row r="15" spans="1:2" ht="12.75">
      <c r="A15" s="161" t="s">
        <v>515</v>
      </c>
      <c r="B15" s="162">
        <f>364.24</f>
        <v>364.24</v>
      </c>
    </row>
    <row r="16" spans="1:2" ht="12.75">
      <c r="A16" s="161" t="s">
        <v>516</v>
      </c>
      <c r="B16" s="162">
        <f>-16.2</f>
        <v>-16.2</v>
      </c>
    </row>
    <row r="17" spans="1:2" ht="12.75">
      <c r="A17" s="161" t="s">
        <v>472</v>
      </c>
      <c r="B17" s="162">
        <f>2085.65</f>
        <v>2085.65</v>
      </c>
    </row>
    <row r="18" spans="1:2" ht="12.75">
      <c r="A18" s="161" t="s">
        <v>366</v>
      </c>
      <c r="B18" s="162">
        <f>30429.06</f>
        <v>30429.06</v>
      </c>
    </row>
    <row r="19" spans="1:2" ht="12.75">
      <c r="A19" s="161" t="s">
        <v>463</v>
      </c>
      <c r="B19" s="162">
        <f>1578.8</f>
        <v>1578.8</v>
      </c>
    </row>
    <row r="20" spans="1:2" ht="12.75">
      <c r="A20" s="161" t="s">
        <v>517</v>
      </c>
      <c r="B20" s="162">
        <f>429</f>
        <v>429</v>
      </c>
    </row>
    <row r="21" spans="1:2" ht="12.75">
      <c r="A21" s="161" t="s">
        <v>367</v>
      </c>
      <c r="B21" s="162">
        <f>280.68</f>
        <v>280.68</v>
      </c>
    </row>
    <row r="22" spans="1:2" ht="12.75">
      <c r="A22" s="161" t="s">
        <v>518</v>
      </c>
      <c r="B22" s="162">
        <f>5.06</f>
        <v>5.06</v>
      </c>
    </row>
    <row r="23" spans="1:2" ht="12.75">
      <c r="A23" s="161" t="s">
        <v>519</v>
      </c>
      <c r="B23" s="162">
        <f>1.5</f>
        <v>1.5</v>
      </c>
    </row>
    <row r="24" spans="1:2" ht="12.75">
      <c r="A24" s="161" t="s">
        <v>473</v>
      </c>
      <c r="B24" s="162">
        <f>608.02</f>
        <v>608.02</v>
      </c>
    </row>
    <row r="25" spans="1:2" ht="12.75">
      <c r="A25" s="161" t="s">
        <v>368</v>
      </c>
      <c r="B25" s="162">
        <f>415.79</f>
        <v>415.79</v>
      </c>
    </row>
    <row r="26" spans="1:2" ht="12.75">
      <c r="A26" s="161" t="s">
        <v>369</v>
      </c>
      <c r="B26" s="162">
        <f>785.46</f>
        <v>785.46</v>
      </c>
    </row>
    <row r="27" spans="1:2" ht="12.75">
      <c r="A27" s="161" t="s">
        <v>520</v>
      </c>
      <c r="B27" s="162">
        <f>2.51</f>
        <v>2.51</v>
      </c>
    </row>
    <row r="28" spans="1:2" ht="12.75">
      <c r="A28" s="161" t="s">
        <v>370</v>
      </c>
      <c r="B28" s="162">
        <f>261.48</f>
        <v>261.48</v>
      </c>
    </row>
    <row r="29" spans="1:2" ht="12.75">
      <c r="A29" s="161" t="s">
        <v>371</v>
      </c>
      <c r="B29" s="242">
        <f>((B26)+(B27))+(B28)</f>
        <v>1049.45</v>
      </c>
    </row>
    <row r="30" spans="1:2" ht="12.75">
      <c r="A30" s="161" t="s">
        <v>474</v>
      </c>
      <c r="B30" s="162">
        <f>12</f>
        <v>12</v>
      </c>
    </row>
    <row r="31" spans="1:2" ht="12.75">
      <c r="A31" s="161" t="s">
        <v>521</v>
      </c>
      <c r="B31" s="162">
        <f>150</f>
        <v>150</v>
      </c>
    </row>
    <row r="32" spans="1:2" ht="12.75">
      <c r="A32" s="161" t="s">
        <v>522</v>
      </c>
      <c r="B32" s="162">
        <f>2519.38</f>
        <v>2519.38</v>
      </c>
    </row>
    <row r="33" spans="1:2" ht="12.75">
      <c r="A33" s="161" t="s">
        <v>523</v>
      </c>
      <c r="B33" s="162">
        <f>20</f>
        <v>20</v>
      </c>
    </row>
    <row r="34" spans="1:2" ht="12.75">
      <c r="A34" s="161" t="s">
        <v>464</v>
      </c>
      <c r="B34" s="162">
        <f>800</f>
        <v>800</v>
      </c>
    </row>
    <row r="35" spans="1:2" ht="12.75">
      <c r="A35" s="161" t="s">
        <v>492</v>
      </c>
      <c r="B35" s="162">
        <f>200</f>
        <v>200</v>
      </c>
    </row>
    <row r="36" spans="1:2" ht="12.75">
      <c r="A36" s="161" t="s">
        <v>477</v>
      </c>
      <c r="B36" s="162">
        <f>222.86</f>
        <v>222.86</v>
      </c>
    </row>
    <row r="37" spans="1:2" ht="12.75">
      <c r="A37" s="161" t="s">
        <v>486</v>
      </c>
      <c r="B37" s="162">
        <f>11310.1</f>
        <v>11310.1</v>
      </c>
    </row>
    <row r="38" spans="1:2" ht="12.75">
      <c r="A38" s="161" t="s">
        <v>372</v>
      </c>
      <c r="B38" s="162">
        <f>235.16</f>
        <v>235.16</v>
      </c>
    </row>
    <row r="39" spans="1:2" ht="12.75">
      <c r="A39" s="161" t="s">
        <v>524</v>
      </c>
      <c r="B39" s="162">
        <f>1442.51</f>
        <v>1442.51</v>
      </c>
    </row>
    <row r="40" spans="1:2" ht="12.75">
      <c r="A40" s="161" t="s">
        <v>525</v>
      </c>
      <c r="B40" s="162">
        <f>-208.55</f>
        <v>-208.55</v>
      </c>
    </row>
    <row r="41" spans="1:2" ht="12.75">
      <c r="A41" s="161" t="s">
        <v>373</v>
      </c>
      <c r="B41" s="162">
        <f>36035.79</f>
        <v>36035.79</v>
      </c>
    </row>
    <row r="42" spans="1:2" ht="12.75">
      <c r="A42" s="161" t="s">
        <v>374</v>
      </c>
      <c r="B42" s="162">
        <f>6798.82</f>
        <v>6798.82</v>
      </c>
    </row>
    <row r="43" spans="1:2" ht="12.75">
      <c r="A43" s="161" t="s">
        <v>465</v>
      </c>
      <c r="B43" s="162">
        <f>23071.62</f>
        <v>23071.62</v>
      </c>
    </row>
    <row r="44" spans="1:2" ht="12.75">
      <c r="A44" s="161" t="s">
        <v>526</v>
      </c>
      <c r="B44" s="162">
        <f>55</f>
        <v>55</v>
      </c>
    </row>
    <row r="45" spans="1:2" ht="12.75">
      <c r="A45" s="161" t="s">
        <v>478</v>
      </c>
      <c r="B45" s="162">
        <f>137.64</f>
        <v>137.64</v>
      </c>
    </row>
    <row r="46" spans="1:2" ht="12.75">
      <c r="A46" s="161" t="s">
        <v>153</v>
      </c>
      <c r="B46" s="242">
        <f>(((((((((((((((((((((((((((((((((((B7)+(B8))+(B9))+(B10))+(B11))+(B12))+(B13))+(B14))+(B15))+(B16))+(B17))+(B18))+(B19))+(B20))+(B21))+(B22))+(B23))+(B24))+(B25))+(B29))+(B30))+(B31))+(B32))+(B33))+(B34))+(B35))+(B36))+(B37))+(B38))+(B39))+(B40))+(B41))+(B42))+(B43))+(B44))+(B45)</f>
        <v>236526.38000000003</v>
      </c>
    </row>
    <row r="47" spans="1:3" ht="12.75">
      <c r="A47" s="161" t="s">
        <v>378</v>
      </c>
      <c r="B47" s="242">
        <f>(B46)-(0)</f>
        <v>236526.38000000003</v>
      </c>
      <c r="C47" s="244">
        <f>B47-'Oct 2017'!D56</f>
        <v>-8760.619999999937</v>
      </c>
    </row>
    <row r="48" spans="1:2" ht="12.75">
      <c r="A48" s="161" t="s">
        <v>154</v>
      </c>
      <c r="B48" s="241"/>
    </row>
    <row r="49" spans="1:2" ht="12.75">
      <c r="A49" s="161" t="s">
        <v>379</v>
      </c>
      <c r="B49" s="162">
        <f>3725</f>
        <v>3725</v>
      </c>
    </row>
    <row r="50" spans="1:2" ht="12.75">
      <c r="A50" s="161" t="s">
        <v>493</v>
      </c>
      <c r="B50" s="246">
        <f>49</f>
        <v>49</v>
      </c>
    </row>
    <row r="51" spans="1:2" ht="12.75">
      <c r="A51" s="161" t="s">
        <v>380</v>
      </c>
      <c r="B51" s="162">
        <f>505</f>
        <v>505</v>
      </c>
    </row>
    <row r="52" spans="1:2" ht="12.75">
      <c r="A52" s="161" t="s">
        <v>502</v>
      </c>
      <c r="B52" s="162">
        <f>2451.5</f>
        <v>2451.5</v>
      </c>
    </row>
    <row r="53" spans="1:2" ht="12.75">
      <c r="A53" s="161" t="s">
        <v>494</v>
      </c>
      <c r="B53" s="162">
        <f>160</f>
        <v>160</v>
      </c>
    </row>
    <row r="54" spans="1:2" ht="12.75">
      <c r="A54" s="161" t="s">
        <v>381</v>
      </c>
      <c r="B54" s="162">
        <f>1462.64</f>
        <v>1462.64</v>
      </c>
    </row>
    <row r="55" spans="1:2" ht="12.75">
      <c r="A55" s="161" t="s">
        <v>382</v>
      </c>
      <c r="B55" s="162">
        <f>1100</f>
        <v>1100</v>
      </c>
    </row>
    <row r="56" spans="1:2" ht="12.75">
      <c r="A56" s="161" t="s">
        <v>431</v>
      </c>
      <c r="B56" s="162">
        <f>50</f>
        <v>50</v>
      </c>
    </row>
    <row r="57" spans="1:2" ht="12.75">
      <c r="A57" s="161" t="s">
        <v>383</v>
      </c>
      <c r="B57" s="162">
        <f>3350</f>
        <v>3350</v>
      </c>
    </row>
    <row r="58" spans="1:2" ht="12.75">
      <c r="A58" s="161" t="s">
        <v>479</v>
      </c>
      <c r="B58" s="162">
        <f>314.69</f>
        <v>314.69</v>
      </c>
    </row>
    <row r="59" spans="1:2" ht="12.75">
      <c r="A59" s="161" t="s">
        <v>384</v>
      </c>
      <c r="B59" s="162">
        <f>5041.59</f>
        <v>5041.59</v>
      </c>
    </row>
    <row r="60" spans="1:2" ht="12.75">
      <c r="A60" s="161" t="s">
        <v>385</v>
      </c>
      <c r="B60" s="162">
        <f>6512</f>
        <v>6512</v>
      </c>
    </row>
    <row r="61" spans="1:2" ht="12.75">
      <c r="A61" s="161" t="s">
        <v>386</v>
      </c>
      <c r="B61" s="162">
        <f>621.38</f>
        <v>621.38</v>
      </c>
    </row>
    <row r="62" spans="1:2" ht="12.75">
      <c r="A62" s="161" t="s">
        <v>387</v>
      </c>
      <c r="B62" s="162">
        <f>847.5</f>
        <v>847.5</v>
      </c>
    </row>
    <row r="63" spans="1:2" ht="12.75">
      <c r="A63" s="161" t="s">
        <v>388</v>
      </c>
      <c r="B63" s="162">
        <f>415.96</f>
        <v>415.96</v>
      </c>
    </row>
    <row r="64" spans="1:2" ht="12.75">
      <c r="A64" s="161" t="s">
        <v>480</v>
      </c>
      <c r="B64" s="162">
        <f>42.05</f>
        <v>42.05</v>
      </c>
    </row>
    <row r="65" spans="1:2" ht="12.75">
      <c r="A65" s="161" t="s">
        <v>466</v>
      </c>
      <c r="B65" s="162">
        <f>735.98</f>
        <v>735.98</v>
      </c>
    </row>
    <row r="66" spans="1:2" ht="12.75">
      <c r="A66" s="161" t="s">
        <v>527</v>
      </c>
      <c r="B66" s="162">
        <f>1529</f>
        <v>1529</v>
      </c>
    </row>
    <row r="67" spans="1:2" ht="12.75">
      <c r="A67" s="161" t="s">
        <v>528</v>
      </c>
      <c r="B67" s="162">
        <f>1144.5</f>
        <v>1144.5</v>
      </c>
    </row>
    <row r="68" spans="1:2" ht="12.75">
      <c r="A68" s="161" t="s">
        <v>495</v>
      </c>
      <c r="B68" s="162">
        <f>7720.55</f>
        <v>7720.55</v>
      </c>
    </row>
    <row r="69" spans="1:2" ht="12.75">
      <c r="A69" s="161" t="s">
        <v>529</v>
      </c>
      <c r="B69" s="162">
        <f>2212</f>
        <v>2212</v>
      </c>
    </row>
    <row r="70" spans="1:2" ht="12.75">
      <c r="A70" s="161" t="s">
        <v>530</v>
      </c>
      <c r="B70" s="162">
        <f>913.5</f>
        <v>913.5</v>
      </c>
    </row>
    <row r="71" spans="1:2" ht="12.75">
      <c r="A71" s="161" t="s">
        <v>531</v>
      </c>
      <c r="B71" s="162">
        <f>3160.5</f>
        <v>3160.5</v>
      </c>
    </row>
    <row r="72" spans="1:2" ht="12.75">
      <c r="A72" s="161" t="s">
        <v>467</v>
      </c>
      <c r="B72" s="162">
        <f>165.21</f>
        <v>165.21</v>
      </c>
    </row>
    <row r="73" spans="1:2" ht="12.75">
      <c r="A73" s="161" t="s">
        <v>389</v>
      </c>
      <c r="B73" s="162">
        <f>505.5</f>
        <v>505.5</v>
      </c>
    </row>
    <row r="74" spans="1:2" ht="12.75">
      <c r="A74" s="161" t="s">
        <v>390</v>
      </c>
      <c r="B74" s="162">
        <f>661.94</f>
        <v>661.94</v>
      </c>
    </row>
    <row r="75" spans="1:2" ht="12.75">
      <c r="A75" s="161" t="s">
        <v>391</v>
      </c>
      <c r="B75" s="162">
        <f>721.88</f>
        <v>721.88</v>
      </c>
    </row>
    <row r="76" spans="1:2" ht="12.75">
      <c r="A76" s="161" t="s">
        <v>532</v>
      </c>
      <c r="B76" s="162">
        <f>2519.38</f>
        <v>2519.38</v>
      </c>
    </row>
    <row r="77" spans="1:2" ht="12.75">
      <c r="A77" s="161" t="s">
        <v>392</v>
      </c>
      <c r="B77" s="162">
        <f>3231.55</f>
        <v>3231.55</v>
      </c>
    </row>
    <row r="78" spans="1:2" ht="12.75">
      <c r="A78" s="161" t="s">
        <v>496</v>
      </c>
      <c r="B78" s="162">
        <f>1320</f>
        <v>1320</v>
      </c>
    </row>
    <row r="79" spans="1:2" ht="12.75">
      <c r="A79" s="161" t="s">
        <v>393</v>
      </c>
      <c r="B79" s="162">
        <f>10644.75</f>
        <v>10644.75</v>
      </c>
    </row>
    <row r="80" spans="1:2" ht="12.75">
      <c r="A80" s="161" t="s">
        <v>394</v>
      </c>
      <c r="B80" s="162">
        <f>1313.37</f>
        <v>1313.37</v>
      </c>
    </row>
    <row r="81" spans="1:2" ht="12.75">
      <c r="A81" s="161" t="s">
        <v>468</v>
      </c>
      <c r="B81" s="162">
        <f>593.45</f>
        <v>593.45</v>
      </c>
    </row>
    <row r="82" spans="1:2" ht="12.75">
      <c r="A82" s="161" t="s">
        <v>475</v>
      </c>
      <c r="B82" s="162">
        <f>2312.12</f>
        <v>2312.12</v>
      </c>
    </row>
    <row r="83" spans="1:2" ht="12.75">
      <c r="A83" s="161" t="s">
        <v>395</v>
      </c>
      <c r="B83" s="162">
        <f>2330.21</f>
        <v>2330.21</v>
      </c>
    </row>
    <row r="84" spans="1:2" ht="12.75">
      <c r="A84" s="161" t="s">
        <v>396</v>
      </c>
      <c r="B84" s="162">
        <f>8228.13</f>
        <v>8228.13</v>
      </c>
    </row>
    <row r="85" spans="1:2" ht="12.75">
      <c r="A85" s="161" t="s">
        <v>476</v>
      </c>
      <c r="B85" s="162">
        <f>100</f>
        <v>100</v>
      </c>
    </row>
    <row r="86" spans="1:2" ht="12.75">
      <c r="A86" s="161" t="s">
        <v>533</v>
      </c>
      <c r="B86" s="162">
        <f>100</f>
        <v>100</v>
      </c>
    </row>
    <row r="87" spans="1:2" ht="12.75">
      <c r="A87" s="161" t="s">
        <v>498</v>
      </c>
      <c r="B87" s="162">
        <f>100</f>
        <v>100</v>
      </c>
    </row>
    <row r="88" spans="1:2" ht="12.75">
      <c r="A88" s="161" t="s">
        <v>397</v>
      </c>
      <c r="B88" s="162">
        <f>2022.05</f>
        <v>2022.05</v>
      </c>
    </row>
    <row r="89" spans="1:2" ht="12.75">
      <c r="A89" s="161" t="s">
        <v>398</v>
      </c>
      <c r="B89" s="162">
        <f>37225.65</f>
        <v>37225.65</v>
      </c>
    </row>
    <row r="90" spans="1:2" ht="12.75">
      <c r="A90" s="161" t="s">
        <v>399</v>
      </c>
      <c r="B90" s="162">
        <f>3789.48</f>
        <v>3789.48</v>
      </c>
    </row>
    <row r="91" spans="1:2" ht="12.75">
      <c r="A91" s="161" t="s">
        <v>400</v>
      </c>
      <c r="B91" s="162">
        <f>2188.01</f>
        <v>2188.01</v>
      </c>
    </row>
    <row r="92" spans="1:2" ht="12.75">
      <c r="A92" s="161" t="s">
        <v>469</v>
      </c>
      <c r="B92" s="162">
        <f>9946</f>
        <v>9946</v>
      </c>
    </row>
    <row r="93" spans="1:2" ht="12.75">
      <c r="A93" s="161" t="s">
        <v>534</v>
      </c>
      <c r="B93" s="162">
        <f>1933</f>
        <v>1933</v>
      </c>
    </row>
    <row r="94" spans="1:2" ht="12.75">
      <c r="A94" s="161" t="s">
        <v>535</v>
      </c>
      <c r="B94" s="162">
        <f>3200</f>
        <v>3200</v>
      </c>
    </row>
    <row r="95" spans="1:2" ht="12.75">
      <c r="A95" s="161" t="s">
        <v>470</v>
      </c>
      <c r="B95" s="162">
        <f>6902</f>
        <v>6902</v>
      </c>
    </row>
    <row r="96" spans="1:2" ht="12.75">
      <c r="A96" s="161" t="s">
        <v>401</v>
      </c>
      <c r="B96" s="162">
        <f>984.4</f>
        <v>984.4</v>
      </c>
    </row>
    <row r="97" spans="1:2" ht="12.75">
      <c r="A97" s="161" t="s">
        <v>402</v>
      </c>
      <c r="B97" s="162">
        <f>37245.2</f>
        <v>37245.2</v>
      </c>
    </row>
    <row r="98" spans="1:2" ht="12.75">
      <c r="A98" s="161" t="s">
        <v>536</v>
      </c>
      <c r="B98" s="162">
        <f>620.55</f>
        <v>620.55</v>
      </c>
    </row>
    <row r="99" spans="1:2" ht="12.75">
      <c r="A99" s="161" t="s">
        <v>537</v>
      </c>
      <c r="B99" s="162">
        <f>1118.68</f>
        <v>1118.68</v>
      </c>
    </row>
    <row r="100" spans="1:2" ht="12.75">
      <c r="A100" s="161" t="s">
        <v>471</v>
      </c>
      <c r="B100" s="162">
        <f>6822.71</f>
        <v>6822.71</v>
      </c>
    </row>
    <row r="101" spans="1:2" ht="12.75">
      <c r="A101" s="161" t="s">
        <v>403</v>
      </c>
      <c r="B101" s="241"/>
    </row>
    <row r="102" spans="1:2" ht="12.75">
      <c r="A102" s="161" t="s">
        <v>404</v>
      </c>
      <c r="B102" s="162">
        <f>0</f>
        <v>0</v>
      </c>
    </row>
    <row r="103" spans="1:2" ht="12.75">
      <c r="A103" s="161" t="s">
        <v>405</v>
      </c>
      <c r="B103" s="162">
        <f>0</f>
        <v>0</v>
      </c>
    </row>
    <row r="104" spans="1:2" ht="12.75">
      <c r="A104" s="161" t="s">
        <v>406</v>
      </c>
      <c r="B104" s="242">
        <f>((B101)+(B102))+(B103)</f>
        <v>0</v>
      </c>
    </row>
    <row r="105" spans="1:3" ht="12.75">
      <c r="A105" s="161" t="s">
        <v>407</v>
      </c>
      <c r="B105" s="162">
        <f>191.15</f>
        <v>191.15</v>
      </c>
      <c r="C105" s="23">
        <f>B105-94</f>
        <v>97.15</v>
      </c>
    </row>
    <row r="106" spans="1:2" ht="12.75">
      <c r="A106" s="161" t="s">
        <v>157</v>
      </c>
      <c r="B106" s="242">
        <f>(((((((((((((((((((((((((((((((((((((((((((((((((((((B49)+(B50))+(B51))+(B52))+(B53))+(B54))+(B55))+(B56))+(B57))+(B58))+(B59))+(B60))+(B61))+(B62))+(B63))+(B64))+(B65))+(B66))+(B67))+(B68))+(B69))+(B70))+(B71))+(B72))+(B73))+(B74))+(B75))+(B76))+(B77))+(B78))+(B79))+(B80))+(B81))+(B82))+(B83))+(B84))+(B85))+(B86))+(B87))+(B88))+(B89))+(B90))+(B91))+(B92))+(B93))+(B94))+(B95))+(B96))+(B97))+(B98))+(B99))+(B100))+(B104))+(B105)</f>
        <v>193100.70999999996</v>
      </c>
    </row>
    <row r="107" spans="1:2" ht="12.75">
      <c r="A107" s="161" t="s">
        <v>408</v>
      </c>
      <c r="B107" s="242">
        <f>(B47)-(B106)</f>
        <v>43425.67000000007</v>
      </c>
    </row>
    <row r="108" spans="1:2" ht="12.75">
      <c r="A108" s="161" t="s">
        <v>409</v>
      </c>
      <c r="B108" s="241"/>
    </row>
    <row r="109" spans="1:2" ht="12.75">
      <c r="A109" s="161" t="s">
        <v>410</v>
      </c>
      <c r="B109" s="162">
        <f>0.02</f>
        <v>0.02</v>
      </c>
    </row>
    <row r="110" spans="1:2" ht="12.75">
      <c r="A110" s="161" t="s">
        <v>411</v>
      </c>
      <c r="B110" s="242">
        <f>B109</f>
        <v>0.02</v>
      </c>
    </row>
    <row r="111" spans="1:2" ht="12.75">
      <c r="A111" s="161" t="s">
        <v>412</v>
      </c>
      <c r="B111" s="242">
        <f>(0)-(B110)</f>
        <v>-0.02</v>
      </c>
    </row>
    <row r="112" spans="1:2" ht="12.75">
      <c r="A112" s="161" t="s">
        <v>413</v>
      </c>
      <c r="B112" s="242">
        <f>(B107)+(B111)</f>
        <v>43425.650000000074</v>
      </c>
    </row>
    <row r="113" spans="1:2" ht="12.75">
      <c r="A113" s="161"/>
      <c r="B113" s="241"/>
    </row>
    <row r="116" spans="1:2" ht="12.75">
      <c r="A116" s="243" t="s">
        <v>538</v>
      </c>
      <c r="B116" s="222"/>
    </row>
  </sheetData>
  <sheetProtection/>
  <mergeCells count="4">
    <mergeCell ref="A1:B1"/>
    <mergeCell ref="A2:B2"/>
    <mergeCell ref="A3:B3"/>
    <mergeCell ref="A116:B1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Brubaker</dc:creator>
  <cp:keywords/>
  <dc:description/>
  <cp:lastModifiedBy>Dana Brubaker</cp:lastModifiedBy>
  <cp:lastPrinted>2017-10-23T12:15:15Z</cp:lastPrinted>
  <dcterms:created xsi:type="dcterms:W3CDTF">2016-11-12T20:53:29Z</dcterms:created>
  <dcterms:modified xsi:type="dcterms:W3CDTF">2017-11-04T23:57:03Z</dcterms:modified>
  <cp:category/>
  <cp:version/>
  <cp:contentType/>
  <cp:contentStatus/>
</cp:coreProperties>
</file>