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64" windowHeight="5340" activeTab="0"/>
  </bookViews>
  <sheets>
    <sheet name="Feb 2017" sheetId="1" r:id="rId1"/>
    <sheet name="Fire Tax -Feb" sheetId="2" r:id="rId2"/>
    <sheet name="Liquid Fuels Feb" sheetId="3" r:id="rId3"/>
    <sheet name="Solid Waste -Feb" sheetId="4" r:id="rId4"/>
    <sheet name="Playground-Feb" sheetId="5" r:id="rId5"/>
    <sheet name="BS -Feb" sheetId="6" r:id="rId6"/>
    <sheet name="Sheet2" sheetId="7" r:id="rId7"/>
    <sheet name="2017 Budget " sheetId="8" r:id="rId8"/>
    <sheet name="Sheet4" sheetId="9" r:id="rId9"/>
    <sheet name="Sheet1" sheetId="10" r:id="rId10"/>
    <sheet name="Sheet5" sheetId="11" r:id="rId11"/>
    <sheet name="Sheet3" sheetId="12" r:id="rId12"/>
  </sheets>
  <externalReferences>
    <externalReference r:id="rId15"/>
    <externalReference r:id="rId16"/>
  </externalReferences>
  <definedNames>
    <definedName name="_xlnm.Print_Area" localSheetId="7">'2017 Budget '!$A$102:$I$253</definedName>
    <definedName name="_xlnm.Print_Area" localSheetId="5">'BS -Feb'!$A$1:$I$27</definedName>
    <definedName name="_xlnm.Print_Area" localSheetId="0">'Feb 2017'!$A$122:$F$183</definedName>
    <definedName name="_xlnm.Print_Area" localSheetId="1">'Fire Tax -Feb'!$A$1:$C$36</definedName>
    <definedName name="_xlnm.Print_Area" localSheetId="2">'Liquid Fuels Feb'!$A$1:$D$32</definedName>
    <definedName name="_xlnm.Print_Area" localSheetId="4">'Playground-Feb'!$A$1:$D$33</definedName>
    <definedName name="_xlnm.Print_Area" localSheetId="3">'Solid Waste -Feb'!$A$1:$D$34</definedName>
    <definedName name="_xlnm.Print_Titles" localSheetId="7">'2017 Budget '!$102:$106</definedName>
  </definedNames>
  <calcPr fullCalcOnLoad="1"/>
</workbook>
</file>

<file path=xl/sharedStrings.xml><?xml version="1.0" encoding="utf-8"?>
<sst xmlns="http://schemas.openxmlformats.org/spreadsheetml/2006/main" count="829" uniqueCount="550">
  <si>
    <t>Borough of Parryville</t>
  </si>
  <si>
    <t>Treasurer's Report</t>
  </si>
  <si>
    <t>Income:</t>
  </si>
  <si>
    <t>Budget</t>
  </si>
  <si>
    <t>Difference</t>
  </si>
  <si>
    <t>Due From General Fund</t>
  </si>
  <si>
    <t>Due To Highway Aid Fund - Fund Transfer</t>
  </si>
  <si>
    <t>Real Estate Taxes - Delinquent</t>
  </si>
  <si>
    <t>(9.25 mills)</t>
  </si>
  <si>
    <t>Real Estate Taxes - Current Year</t>
  </si>
  <si>
    <t>Real Estate Taxes - Current Year - Discount</t>
  </si>
  <si>
    <t>Real Estate Taxes - Penalties</t>
  </si>
  <si>
    <t>Real Estate Taxes - Pr. Yr Levy</t>
  </si>
  <si>
    <t>(  .75 mills)</t>
  </si>
  <si>
    <t>Fire Company Tax - Current Year</t>
  </si>
  <si>
    <t>Fire Company Tax - Current Year - Discount</t>
  </si>
  <si>
    <t>Fire Company Taxes  - Pr. Yr. Levy</t>
  </si>
  <si>
    <t>Fire Company Tax - Penalties</t>
  </si>
  <si>
    <t>Tax Claim Bureau</t>
  </si>
  <si>
    <t>Tax Claim Bureau - Fire Tax</t>
  </si>
  <si>
    <t>Total 12.5</t>
  </si>
  <si>
    <t>Occupational Taxes - Current Year</t>
  </si>
  <si>
    <t>Occupational Taxes - Current Year - Discount</t>
  </si>
  <si>
    <t>Occupational Taxes - Prior Year</t>
  </si>
  <si>
    <t>Occupational Taxes - Penalties</t>
  </si>
  <si>
    <t>Occupational Taxes - Delinquent</t>
  </si>
  <si>
    <t>Per Capita Taxes - Current</t>
  </si>
  <si>
    <t>Per Capita Taxes - Current - Discount</t>
  </si>
  <si>
    <t xml:space="preserve">Per Capita Penalties </t>
  </si>
  <si>
    <t>Per Capita Taxes - Prior Year</t>
  </si>
  <si>
    <t>Per Capita Taxes - Delinquent</t>
  </si>
  <si>
    <t>Real Estate Transfer Tax</t>
  </si>
  <si>
    <t>Earned Income Taxes</t>
  </si>
  <si>
    <t>Occupational Priv. Taxes</t>
  </si>
  <si>
    <t xml:space="preserve">Moving Permits </t>
  </si>
  <si>
    <t>District Magistrate</t>
  </si>
  <si>
    <t>State Police Fines</t>
  </si>
  <si>
    <t>Borough Fines</t>
  </si>
  <si>
    <t>Interest Income</t>
  </si>
  <si>
    <t>Rental Income - Elections/Land</t>
  </si>
  <si>
    <t>PURTA</t>
  </si>
  <si>
    <t>Foreign Fire Tax</t>
  </si>
  <si>
    <t>Alcoholic Beverage License Fee</t>
  </si>
  <si>
    <t>Solid Waste - Current</t>
  </si>
  <si>
    <t>Solid Waste - Delinquent</t>
  </si>
  <si>
    <t>Zoning/Building Permits</t>
  </si>
  <si>
    <t>Permits - Bldgs/Roads</t>
  </si>
  <si>
    <t xml:space="preserve">Sewage Permit &amp; Testing Fees </t>
  </si>
  <si>
    <t>Uniform Construction Code Permits</t>
  </si>
  <si>
    <t>Sale of Materials</t>
  </si>
  <si>
    <t>Miscellaneous</t>
  </si>
  <si>
    <t>Contributions from Private Sources</t>
  </si>
  <si>
    <t>Liquid Fuels - Interest Income</t>
  </si>
  <si>
    <t>Liquid Fuels Allocation</t>
  </si>
  <si>
    <t>Pending</t>
  </si>
  <si>
    <t xml:space="preserve">Total Income </t>
  </si>
  <si>
    <t>Expenses:</t>
  </si>
  <si>
    <t xml:space="preserve">Council </t>
  </si>
  <si>
    <t>Code Enforcement Officer Fees</t>
  </si>
  <si>
    <t>Council Salaries</t>
  </si>
  <si>
    <t>Borough Council - Dues/Seminars</t>
  </si>
  <si>
    <t>Borough Council - Training</t>
  </si>
  <si>
    <t>Tablet Replacement</t>
  </si>
  <si>
    <t>Mayor</t>
  </si>
  <si>
    <t>Mayor Salaries</t>
  </si>
  <si>
    <t>Mayor - Dues/Seminars</t>
  </si>
  <si>
    <t>Audit Fees</t>
  </si>
  <si>
    <t>Tax Collections</t>
  </si>
  <si>
    <t>Tax Collector Commission</t>
  </si>
  <si>
    <t>Tax Collector - Training</t>
  </si>
  <si>
    <t>Tax Collector -Supplies</t>
  </si>
  <si>
    <t>Legal Fees</t>
  </si>
  <si>
    <t>Legal Fees - Borough Solicitor</t>
  </si>
  <si>
    <t>Legal Fees - Zoning Hearing Board</t>
  </si>
  <si>
    <t>Secretary/Treasurer</t>
  </si>
  <si>
    <t>Borough Secretary Salary</t>
  </si>
  <si>
    <t>Borough Secretary - Blackberry Access</t>
  </si>
  <si>
    <t xml:space="preserve">QuickBooks </t>
  </si>
  <si>
    <t>Office Supplies/Materials</t>
  </si>
  <si>
    <t>Computer/Copier Supplies</t>
  </si>
  <si>
    <t>Secretary - Postage</t>
  </si>
  <si>
    <t>Advertising/Printing</t>
  </si>
  <si>
    <t>Borough Secretary Bond</t>
  </si>
  <si>
    <t>Engineering</t>
  </si>
  <si>
    <t xml:space="preserve">Engineering Fees - General </t>
  </si>
  <si>
    <t>Engineering Fees - 537 Plan</t>
  </si>
  <si>
    <t>Engineering Fees - Planning Commission</t>
  </si>
  <si>
    <t>Engineering Fees - Road Project</t>
  </si>
  <si>
    <t>Municipal Building</t>
  </si>
  <si>
    <t>Telephone Services</t>
  </si>
  <si>
    <t>Internet Fees</t>
  </si>
  <si>
    <t>Electric</t>
  </si>
  <si>
    <t>Heat</t>
  </si>
  <si>
    <t>Borough Hall - Maintenance &amp; Repairs</t>
  </si>
  <si>
    <t>Borough Hall - Supplies</t>
  </si>
  <si>
    <t>Capital Construction</t>
  </si>
  <si>
    <t>Computer - IT Expense</t>
  </si>
  <si>
    <t>Fire and Public Safety</t>
  </si>
  <si>
    <t>Communication Center - 911</t>
  </si>
  <si>
    <t>Fire Company - Expenses Submitted</t>
  </si>
  <si>
    <t>Fire Company - Workers Compensation</t>
  </si>
  <si>
    <t>Foreign Fire Insurance - Expense</t>
  </si>
  <si>
    <t>400-414</t>
  </si>
  <si>
    <t>Enforcement</t>
  </si>
  <si>
    <t>Zoning Officer Fees</t>
  </si>
  <si>
    <t>Zoning Hearing Board Expenses</t>
  </si>
  <si>
    <t>Planning Commission Expenses</t>
  </si>
  <si>
    <t>Sewage Enforcement Officer Fees</t>
  </si>
  <si>
    <t>Building Code Enforcement Fees</t>
  </si>
  <si>
    <t>Sanitation</t>
  </si>
  <si>
    <t>Waste Removal - per contract</t>
  </si>
  <si>
    <t>Bad Debts - Solid Waste Accts</t>
  </si>
  <si>
    <t>Recycling Contract</t>
  </si>
  <si>
    <t>Collection Agency Commission</t>
  </si>
  <si>
    <t>Public Works</t>
  </si>
  <si>
    <t>Munibilling Fees</t>
  </si>
  <si>
    <t>Snow Removal - Contracted Services</t>
  </si>
  <si>
    <t>Street Lights</t>
  </si>
  <si>
    <t>Street Lights - PPL</t>
  </si>
  <si>
    <t>Debt Services</t>
  </si>
  <si>
    <t>Truck Lease Payments</t>
  </si>
  <si>
    <t>Road Repair Loan - Principal</t>
  </si>
  <si>
    <t>Road Repair Loan - Interest</t>
  </si>
  <si>
    <t>Insurance</t>
  </si>
  <si>
    <t>Contracted Services</t>
  </si>
  <si>
    <t>Contract Services - Grass Cutting</t>
  </si>
  <si>
    <t>Contract Services - Weed Spraying</t>
  </si>
  <si>
    <t>Recreation</t>
  </si>
  <si>
    <t>Park - Operating Supplies</t>
  </si>
  <si>
    <t xml:space="preserve">Equipment Replacement </t>
  </si>
  <si>
    <t>Donations &amp; Contributions</t>
  </si>
  <si>
    <t>State Aid</t>
  </si>
  <si>
    <t xml:space="preserve">Liquid Fuels Expense </t>
  </si>
  <si>
    <t>Miscellaneous Expense</t>
  </si>
  <si>
    <t>Bank Fees</t>
  </si>
  <si>
    <t>480-483</t>
  </si>
  <si>
    <t>Employer Expenses</t>
  </si>
  <si>
    <t>Payroll Taxes - Employer</t>
  </si>
  <si>
    <t>Employer - UC Charges</t>
  </si>
  <si>
    <t>Repayment Plan - Liquid Fuels</t>
  </si>
  <si>
    <t xml:space="preserve">Total Expenses </t>
  </si>
  <si>
    <t>Net (Income)/Loss</t>
  </si>
  <si>
    <t xml:space="preserve">   Motion By:</t>
  </si>
  <si>
    <t xml:space="preserve">   Second By:</t>
  </si>
  <si>
    <t>Parryville Borough</t>
  </si>
  <si>
    <t>Fire Protection - Special Purpose Millage - Fund Balance</t>
  </si>
  <si>
    <t>Profit and Loss</t>
  </si>
  <si>
    <t>Total</t>
  </si>
  <si>
    <t>Income</t>
  </si>
  <si>
    <t xml:space="preserve">   Real Estate Taxes - Fire Tax</t>
  </si>
  <si>
    <t xml:space="preserve">   Real Estate Taxes - Fire Tax - Discount</t>
  </si>
  <si>
    <t xml:space="preserve">   Prior Year -RE Taxes - Fire Tax</t>
  </si>
  <si>
    <t xml:space="preserve">   Tax Claim Bureau - Fire Tax</t>
  </si>
  <si>
    <t xml:space="preserve">   Volunteer Fire Relief</t>
  </si>
  <si>
    <t xml:space="preserve">   Interest Income - Fire Tax</t>
  </si>
  <si>
    <t>Total Income</t>
  </si>
  <si>
    <t>Expenses</t>
  </si>
  <si>
    <t xml:space="preserve">   Parryville Fire Company - Insurance Expenses</t>
  </si>
  <si>
    <t xml:space="preserve">   Parryville Fire Company - Workers Compensation Charges</t>
  </si>
  <si>
    <t>Total Expenses</t>
  </si>
  <si>
    <t>Net Operating Income/(Loss)</t>
  </si>
  <si>
    <t>Fire Protection Fund Reconciliation</t>
  </si>
  <si>
    <t>Due To General Fund From Fire Tax Fund</t>
  </si>
  <si>
    <t>Due To Fire Tax Fund From General Fund</t>
  </si>
  <si>
    <t>B.1</t>
  </si>
  <si>
    <t xml:space="preserve">   Comprised of:</t>
  </si>
  <si>
    <t xml:space="preserve">      Cash on hand, beginning of year</t>
  </si>
  <si>
    <t xml:space="preserve">      Prior Year - Expenses In Excess Of Revenue - General Fund</t>
  </si>
  <si>
    <t xml:space="preserve">      Revenues collected in current year</t>
  </si>
  <si>
    <t xml:space="preserve">      Expenditures in current year</t>
  </si>
  <si>
    <t xml:space="preserve">     Cash Balance, ending</t>
  </si>
  <si>
    <t>State Highway Aid - Fund Balance</t>
  </si>
  <si>
    <t xml:space="preserve">   Liquid Fuels Annual Allocation</t>
  </si>
  <si>
    <t xml:space="preserve">   Liquid Fuels Repayment Plan</t>
  </si>
  <si>
    <t xml:space="preserve">   Interest Income - Liquid Fuels</t>
  </si>
  <si>
    <t xml:space="preserve">   Liquid Fuels Expenses</t>
  </si>
  <si>
    <t>State Highway Aid Fund Reconciliation</t>
  </si>
  <si>
    <t>Due To General Fund From Highway Aid Fund</t>
  </si>
  <si>
    <t>Due To Highway Aid Fund From General Fund</t>
  </si>
  <si>
    <t>C.1</t>
  </si>
  <si>
    <t xml:space="preserve">     Expenditures in current year</t>
  </si>
  <si>
    <t>Solid Waste - Fund Balance</t>
  </si>
  <si>
    <t xml:space="preserve">   Solid Waste - Current Year Collections</t>
  </si>
  <si>
    <t xml:space="preserve">   Solid Waste - Deliquent Collections</t>
  </si>
  <si>
    <t xml:space="preserve">   Solid Waste - Interest Income</t>
  </si>
  <si>
    <t xml:space="preserve">   Solid Waste - Service Contract Fees  (Paid From Solid Waste Fund)</t>
  </si>
  <si>
    <t xml:space="preserve">   Solid Waste - Bad Debt Expense</t>
  </si>
  <si>
    <t xml:space="preserve">   Solid Waste - Legal Fees</t>
  </si>
  <si>
    <t>Solid Waste Fund Reconciliation</t>
  </si>
  <si>
    <t>Due To General Fund From Solid Waste Fund</t>
  </si>
  <si>
    <t>Due To Solid Waste From M&amp;T General Fund</t>
  </si>
  <si>
    <t xml:space="preserve">      Prior Year - Collections In Excess Of Expenses - General Fund</t>
  </si>
  <si>
    <t>Playground Replacement Project - Fund Balance</t>
  </si>
  <si>
    <t xml:space="preserve">   Donations From Private Sources</t>
  </si>
  <si>
    <t xml:space="preserve">  Playground Expenses</t>
  </si>
  <si>
    <t>Playground Fund Reconciliation</t>
  </si>
  <si>
    <t>Due To General Fund From Playground Fund</t>
  </si>
  <si>
    <t>Due To Playground Fund From General Fund</t>
  </si>
  <si>
    <t>*</t>
  </si>
  <si>
    <t>E.1</t>
  </si>
  <si>
    <t>Cash Balances</t>
  </si>
  <si>
    <t>Balances</t>
  </si>
  <si>
    <t>Transfer</t>
  </si>
  <si>
    <t>Adjusted Balances</t>
  </si>
  <si>
    <t>Reference</t>
  </si>
  <si>
    <t>PLGIT - General Fund Account</t>
  </si>
  <si>
    <t xml:space="preserve">First Niagara Savings Account </t>
  </si>
  <si>
    <t>PLGIT - Highway Aid</t>
  </si>
  <si>
    <t>M&amp;T - General Fund</t>
  </si>
  <si>
    <t>PLGIT - Fire Tax Account</t>
  </si>
  <si>
    <t>PLGIT - Solid Waste Fund</t>
  </si>
  <si>
    <t>D.1</t>
  </si>
  <si>
    <t>Petty Cash</t>
  </si>
  <si>
    <t>Revenues</t>
  </si>
  <si>
    <t xml:space="preserve">Increase </t>
  </si>
  <si>
    <t>Account</t>
  </si>
  <si>
    <t>Current</t>
  </si>
  <si>
    <t xml:space="preserve">Year To </t>
  </si>
  <si>
    <t>Proposed</t>
  </si>
  <si>
    <t>or</t>
  </si>
  <si>
    <t xml:space="preserve">Final </t>
  </si>
  <si>
    <t>Number</t>
  </si>
  <si>
    <t>Classification or Category</t>
  </si>
  <si>
    <t>Date</t>
  </si>
  <si>
    <t>Decrease</t>
  </si>
  <si>
    <t>Cash on Hand</t>
  </si>
  <si>
    <t>Variance Between 2011 Budgeted Revenues</t>
  </si>
  <si>
    <t>Due From Capital Reserve Account</t>
  </si>
  <si>
    <t>vs actual:   $15,000 shortage</t>
  </si>
  <si>
    <t>Transfer From General Fund to Liquid Fuels</t>
  </si>
  <si>
    <t>Due From General Funds Account</t>
  </si>
  <si>
    <t>Due From Highway Aid Fund</t>
  </si>
  <si>
    <t>Material Differences:</t>
  </si>
  <si>
    <t>Real Estate Taxes:  $11,204</t>
  </si>
  <si>
    <t>Due To Highway Aid Fund</t>
  </si>
  <si>
    <t>EIT:                        $4,400</t>
  </si>
  <si>
    <t>Real Estate Taxes  (See Tab 2)</t>
  </si>
  <si>
    <t>Real Estate Taxes - Current General</t>
  </si>
  <si>
    <t>Real Estate Taxes - Current General - Discount</t>
  </si>
  <si>
    <t>Real Estate Taxes - Current - Fire Protection</t>
  </si>
  <si>
    <t>Real Estate Taxes - Current - Fire - Discount</t>
  </si>
  <si>
    <t>Real Estate Taxes - Discount</t>
  </si>
  <si>
    <t>Occupation Taxes</t>
  </si>
  <si>
    <t>Occupation Taxes - Current</t>
  </si>
  <si>
    <t>Occupation Taxes - Discount</t>
  </si>
  <si>
    <t>Occupation - Prior Year</t>
  </si>
  <si>
    <t>Local Enabling Tax (511)</t>
  </si>
  <si>
    <t>Per Capita - Prior Year</t>
  </si>
  <si>
    <t>Per Capita Taxes - Discount</t>
  </si>
  <si>
    <t>Per Capita - Delinquent</t>
  </si>
  <si>
    <t>Per Capita _ Penalties</t>
  </si>
  <si>
    <t>Earned Income Tax (Current)</t>
  </si>
  <si>
    <t>Earned Income Tax (Delinquent)</t>
  </si>
  <si>
    <t>Local Service Tax (Current)</t>
  </si>
  <si>
    <t>Cable Franchise Fees</t>
  </si>
  <si>
    <t>Fines</t>
  </si>
  <si>
    <t>Local Ordinances</t>
  </si>
  <si>
    <t>Vehicle Fines</t>
  </si>
  <si>
    <t xml:space="preserve">Rent of Land </t>
  </si>
  <si>
    <t>Intergovernmental Revenue</t>
  </si>
  <si>
    <t>Alcoholic Beverage License</t>
  </si>
  <si>
    <t>Fees &amp; Permits</t>
  </si>
  <si>
    <t>Subdivision/Zoning Fees</t>
  </si>
  <si>
    <t>Sewage Permits</t>
  </si>
  <si>
    <t>Zoning Hearing Fees</t>
  </si>
  <si>
    <t>Sales of Maps/Publications</t>
  </si>
  <si>
    <t>Permits - UCC</t>
  </si>
  <si>
    <t>Moving Permits</t>
  </si>
  <si>
    <t>Solid Waste</t>
  </si>
  <si>
    <t>Current Year Collections</t>
  </si>
  <si>
    <t>Delinquent Collections</t>
  </si>
  <si>
    <t>Contributions for Private Sources</t>
  </si>
  <si>
    <t xml:space="preserve">  Playground Fund</t>
  </si>
  <si>
    <t>Miscellaneous Income</t>
  </si>
  <si>
    <t>Sale of Fixed Assets</t>
  </si>
  <si>
    <t>Grant Revenue</t>
  </si>
  <si>
    <t>Refund of Prior Year Expenditures</t>
  </si>
  <si>
    <t>Restricted Revenue</t>
  </si>
  <si>
    <t>State Liquid Fuels Allocation</t>
  </si>
  <si>
    <t>Foreign Fire Tax Premium</t>
  </si>
  <si>
    <t>Total Revenue</t>
  </si>
  <si>
    <t>(355) Restricted Revenue &amp; Grants</t>
  </si>
  <si>
    <t>General Purpose Revenue</t>
  </si>
  <si>
    <t>Council</t>
  </si>
  <si>
    <t xml:space="preserve">Salaries </t>
  </si>
  <si>
    <t>Dues &amp; Memberships</t>
  </si>
  <si>
    <t>Borough Council Training</t>
  </si>
  <si>
    <t>Tablet Replacement Project</t>
  </si>
  <si>
    <t>Salary</t>
  </si>
  <si>
    <t>Local Tax Collector - Commission</t>
  </si>
  <si>
    <t>ACT 32 - EIT Collector - Commission</t>
  </si>
  <si>
    <t xml:space="preserve">Tax Collector - Training </t>
  </si>
  <si>
    <t>Tax Collector Supplies</t>
  </si>
  <si>
    <t>Solicitor</t>
  </si>
  <si>
    <t>Zoning Hearing Board Solicitor</t>
  </si>
  <si>
    <t>Office Supplies</t>
  </si>
  <si>
    <t>Quickbooks</t>
  </si>
  <si>
    <t>IT/Computer Expenses</t>
  </si>
  <si>
    <t>Postage</t>
  </si>
  <si>
    <t>Bonding</t>
  </si>
  <si>
    <t>Advertising &amp; Printing</t>
  </si>
  <si>
    <t>Miscellaneous - Other</t>
  </si>
  <si>
    <t xml:space="preserve">Engineering </t>
  </si>
  <si>
    <t xml:space="preserve">General </t>
  </si>
  <si>
    <t>Salt Shed</t>
  </si>
  <si>
    <t>Road Projects</t>
  </si>
  <si>
    <t>Planning Commission</t>
  </si>
  <si>
    <t>DEP - Act 537</t>
  </si>
  <si>
    <t>Supplies</t>
  </si>
  <si>
    <t>Telephone</t>
  </si>
  <si>
    <t>Internet Connection &amp; Website</t>
  </si>
  <si>
    <t>Electricity</t>
  </si>
  <si>
    <t>Repairs and Maintenance</t>
  </si>
  <si>
    <t>Fuel - Heat</t>
  </si>
  <si>
    <t>Capital Construction Projects</t>
  </si>
  <si>
    <t>Fire &amp; Public Safety</t>
  </si>
  <si>
    <t>911 Services</t>
  </si>
  <si>
    <t>Fire Tax Expenses</t>
  </si>
  <si>
    <t>Workers Comp Insurance - Fire Co</t>
  </si>
  <si>
    <t>Foreign Fire Tax Expense</t>
  </si>
  <si>
    <t>Public Safety</t>
  </si>
  <si>
    <t>Zoning - General Enforcement</t>
  </si>
  <si>
    <t>Zoning Heard Board Allocation</t>
  </si>
  <si>
    <t>Code Enforcement Fees</t>
  </si>
  <si>
    <t>Planning Commission Expenses (moved)</t>
  </si>
  <si>
    <t>Annual Contract For Trash Collection</t>
  </si>
  <si>
    <t>Allowance For Bad Debts</t>
  </si>
  <si>
    <t>Munibilling</t>
  </si>
  <si>
    <t>Court Filing Fees - Delinquent Accts</t>
  </si>
  <si>
    <t>PW - PT Wages</t>
  </si>
  <si>
    <t>PW - Supplies and Materials</t>
  </si>
  <si>
    <t>PW - Streets/Alley Repairs</t>
  </si>
  <si>
    <t>PW - Cleaning of Streets (Contracted)</t>
  </si>
  <si>
    <t>PW - Fuel</t>
  </si>
  <si>
    <t>PW - Snow Removal (Contracted)</t>
  </si>
  <si>
    <t xml:space="preserve">PW - Highway/Road Materials </t>
  </si>
  <si>
    <t>PW - Equipment Repair</t>
  </si>
  <si>
    <t>PW - Vehicle Repairs</t>
  </si>
  <si>
    <t>Debt Service</t>
  </si>
  <si>
    <t xml:space="preserve">Debt Service - Principal &amp; Interest </t>
  </si>
  <si>
    <t>Debt Service - Interest</t>
  </si>
  <si>
    <t xml:space="preserve">Recreation </t>
  </si>
  <si>
    <t>Parks - Operating Supplies</t>
  </si>
  <si>
    <t>Equipment Replacement Project</t>
  </si>
  <si>
    <t>Donations and Contributions</t>
  </si>
  <si>
    <t>Canal Commission</t>
  </si>
  <si>
    <t>United Vets</t>
  </si>
  <si>
    <t>Library</t>
  </si>
  <si>
    <t>Carbon County K-9</t>
  </si>
  <si>
    <t>Employer Portion of FICA -7.65%</t>
  </si>
  <si>
    <t>PA Unemployment Compensation Fund</t>
  </si>
  <si>
    <t>Auto Insurance - Property &amp; Casualty</t>
  </si>
  <si>
    <t>Public Officials - Liability</t>
  </si>
  <si>
    <t xml:space="preserve">Workers Compensation </t>
  </si>
  <si>
    <t>Offset By Revenue in 355</t>
  </si>
  <si>
    <t xml:space="preserve">Liquid Fuels - Expenses </t>
  </si>
  <si>
    <t>Liquid Fuels - Road Project</t>
  </si>
  <si>
    <t>Liquid Fuels - Road Materials</t>
  </si>
  <si>
    <t xml:space="preserve">Liquid Fuels - Salt </t>
  </si>
  <si>
    <t>Due To Highway Aid Fund - Repayment Plan</t>
  </si>
  <si>
    <t>Grant Expenses</t>
  </si>
  <si>
    <t>Total Expenditures</t>
  </si>
  <si>
    <t>General Purpose Expenses</t>
  </si>
  <si>
    <t>Total Net Income / (Net Loss)</t>
  </si>
  <si>
    <t>Net Income/(Net Loss) - General Purpose</t>
  </si>
  <si>
    <t xml:space="preserve">   0130120 Real Estate Taxes - Prior Year's Levy - General</t>
  </si>
  <si>
    <t xml:space="preserve">   0130140 RE Taxes - Tax Claim Bureau - General</t>
  </si>
  <si>
    <t xml:space="preserve">   0131002 Per Capita Taxes - Prior Year's Levy</t>
  </si>
  <si>
    <t xml:space="preserve">   0131021 Earned Income Taxes - Current Yr Levy</t>
  </si>
  <si>
    <t xml:space="preserve">   0131901 Real Estate Penalities</t>
  </si>
  <si>
    <t xml:space="preserve">   0133113 Fines - State Police</t>
  </si>
  <si>
    <t xml:space="preserve">   0134000 Interest</t>
  </si>
  <si>
    <t xml:space="preserve">      3534101 Interest - Highway Aid</t>
  </si>
  <si>
    <t xml:space="preserve">   Total 0134000 Interest</t>
  </si>
  <si>
    <t xml:space="preserve">   0330112 Prior Year - RE Taxes - Fire Co</t>
  </si>
  <si>
    <t xml:space="preserve">   0836430 Solid Waste Fees - current</t>
  </si>
  <si>
    <t xml:space="preserve">   0836431 Solid Waste Fees - Delinquent</t>
  </si>
  <si>
    <t xml:space="preserve">   Occupational Taxes - Delinquent</t>
  </si>
  <si>
    <t xml:space="preserve">   Per Capita Taxes - Delinquent</t>
  </si>
  <si>
    <t xml:space="preserve">   RE Taxes - Tax Claim Bureau - Fire Tax</t>
  </si>
  <si>
    <t>Gross Profit</t>
  </si>
  <si>
    <t xml:space="preserve">   0140015 Council Salaries</t>
  </si>
  <si>
    <t xml:space="preserve">   0140042 Borough Council - Dues/Seminars</t>
  </si>
  <si>
    <t xml:space="preserve">   0140064 Uniform Construction Code</t>
  </si>
  <si>
    <t xml:space="preserve">   0140115 Mayor Salary</t>
  </si>
  <si>
    <t xml:space="preserve">   0140315 Tax Collector Commission</t>
  </si>
  <si>
    <t xml:space="preserve">   0140431 Legal Expenses</t>
  </si>
  <si>
    <t xml:space="preserve">   0140511 Sec/Treas Salary</t>
  </si>
  <si>
    <t xml:space="preserve">   0140521 Office Materials/Supplies</t>
  </si>
  <si>
    <t xml:space="preserve">   0140522 QuickBooks Subscription</t>
  </si>
  <si>
    <t xml:space="preserve">   0140524 Secretary - Postage</t>
  </si>
  <si>
    <t xml:space="preserve">   0140933 Internet Service</t>
  </si>
  <si>
    <t xml:space="preserve">   0140936 Electric</t>
  </si>
  <si>
    <t xml:space="preserve">   0140937 Heat</t>
  </si>
  <si>
    <t xml:space="preserve">   0141411 Zoning Officer Salary</t>
  </si>
  <si>
    <t xml:space="preserve">   0143000 Highway Salary</t>
  </si>
  <si>
    <t xml:space="preserve">   0143011 Fuel</t>
  </si>
  <si>
    <t xml:space="preserve">   0143060 Minor Equipment Repairs</t>
  </si>
  <si>
    <t xml:space="preserve">   0143400 Street Lights</t>
  </si>
  <si>
    <t xml:space="preserve">   0146500 Misc Expenses</t>
  </si>
  <si>
    <t xml:space="preserve">   0147100 Road Repair Loan - Principal</t>
  </si>
  <si>
    <t xml:space="preserve">   0147200 Road Repair Loan - Interest Expense</t>
  </si>
  <si>
    <t xml:space="preserve">   0148100 Payroll Taxes - Employer</t>
  </si>
  <si>
    <t xml:space="preserve">   0441101 Communication Center</t>
  </si>
  <si>
    <t xml:space="preserve">   0842427 Third Party Collections - Solid Waste Fees</t>
  </si>
  <si>
    <t xml:space="preserve">   6560 Payroll Expenses</t>
  </si>
  <si>
    <t xml:space="preserve">      Taxes</t>
  </si>
  <si>
    <t xml:space="preserve">      Wages</t>
  </si>
  <si>
    <t xml:space="preserve">   Total 6560 Payroll Expenses</t>
  </si>
  <si>
    <t xml:space="preserve">   Reimbursements</t>
  </si>
  <si>
    <t>Net Operating Income</t>
  </si>
  <si>
    <t>Other Expenses</t>
  </si>
  <si>
    <t xml:space="preserve">   Reconciliation Discrepancies</t>
  </si>
  <si>
    <t>Total Other Expenses</t>
  </si>
  <si>
    <t>Net Other Income</t>
  </si>
  <si>
    <t>Net Income</t>
  </si>
  <si>
    <t>Balance Sheet</t>
  </si>
  <si>
    <t>ASSETS</t>
  </si>
  <si>
    <t xml:space="preserve">   Current Assets</t>
  </si>
  <si>
    <t xml:space="preserve">      Bank Accounts</t>
  </si>
  <si>
    <t xml:space="preserve">         0110000 PLGIT - General Fund Account</t>
  </si>
  <si>
    <t xml:space="preserve">         0110500 PLGIT - Playground Fund</t>
  </si>
  <si>
    <t xml:space="preserve">         0110600 FIRST NIAGARA - SAVINGS ACCOUNT</t>
  </si>
  <si>
    <t xml:space="preserve">            Playground Fund</t>
  </si>
  <si>
    <t xml:space="preserve">         Total 0110600 FIRST NIAGARA - SAVINGS ACCOUNT</t>
  </si>
  <si>
    <t xml:space="preserve">         0111000 Petty Cash</t>
  </si>
  <si>
    <t xml:space="preserve">         0310000 PLGIT -Fire Tax Account</t>
  </si>
  <si>
    <t xml:space="preserve">         0810000 M&amp;T - General Fund Account</t>
  </si>
  <si>
    <t xml:space="preserve">         0810001 PLGIT - Solid Waste Fund</t>
  </si>
  <si>
    <t xml:space="preserve">         3010000 PLGIT - Waste Development</t>
  </si>
  <si>
    <t xml:space="preserve">         3510000 PLGIT- Highway Aid Checking</t>
  </si>
  <si>
    <t xml:space="preserve">         M&amp;T - Borough Waste Removal</t>
  </si>
  <si>
    <t xml:space="preserve">      Total Bank Accounts</t>
  </si>
  <si>
    <t xml:space="preserve">      Accounts Receivable</t>
  </si>
  <si>
    <t xml:space="preserve">         0112000 Accounts Receivable</t>
  </si>
  <si>
    <t xml:space="preserve">         0112010 RE Tax Receivable</t>
  </si>
  <si>
    <t xml:space="preserve">         0112020 Del RE Tax Receivable</t>
  </si>
  <si>
    <t xml:space="preserve">         0112050 EIT Receivable</t>
  </si>
  <si>
    <t xml:space="preserve">         0412000 Street Light RE Tax Receivable</t>
  </si>
  <si>
    <t xml:space="preserve">         0412001 Fire RE Tax Receivable</t>
  </si>
  <si>
    <t xml:space="preserve">         0412002 Street Repair RE Tax Receivable</t>
  </si>
  <si>
    <t xml:space="preserve">         0812000 Sanatation Fees Receivable</t>
  </si>
  <si>
    <t xml:space="preserve">         Accounts Receivable (A/R)</t>
  </si>
  <si>
    <t xml:space="preserve">      Total Accounts Receivable</t>
  </si>
  <si>
    <t xml:space="preserve">         0110070 Undeposited Funds</t>
  </si>
  <si>
    <t xml:space="preserve">   Total Current Assets</t>
  </si>
  <si>
    <t xml:space="preserve">   Fixed Assets</t>
  </si>
  <si>
    <t xml:space="preserve">      0116600 Infrastructure</t>
  </si>
  <si>
    <t xml:space="preserve">         0116601 Infrastructure Original Cost</t>
  </si>
  <si>
    <t xml:space="preserve">      Total 0116600 Infrastructure</t>
  </si>
  <si>
    <t xml:space="preserve">      169.00 Accumulated Depreciation</t>
  </si>
  <si>
    <t xml:space="preserve">      169.01 Accumulated Amortization</t>
  </si>
  <si>
    <t xml:space="preserve">   Total Fixed Assets</t>
  </si>
  <si>
    <t xml:space="preserve">   Other Assets</t>
  </si>
  <si>
    <t xml:space="preserve">      Reserve - Fire Company Tax</t>
  </si>
  <si>
    <t xml:space="preserve">      Reserve - Street Repair Tax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</si>
  <si>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</si>
  <si>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</si>
  <si>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</si>
  <si>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</si>
  <si>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</si>
  <si>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</si>
  <si>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0120000 Accounts Payable</t>
  </si>
  <si>
    <t xml:space="preserve">         Total Accounts Payable</t>
  </si>
  <si>
    <t xml:space="preserve">         Other Current Liabilities</t>
  </si>
  <si>
    <t xml:space="preserve">            0121000 Payroll Liabilities</t>
  </si>
  <si>
    <t xml:space="preserve">            0127900 General Fund Balance</t>
  </si>
  <si>
    <t xml:space="preserve">            0427900 Special Revenue Fund Balance</t>
  </si>
  <si>
    <t xml:space="preserve">            0827900 Proprietary Fund Balance</t>
  </si>
  <si>
    <t xml:space="preserve">            3527900 Highway Aid Fund Balance</t>
  </si>
  <si>
    <t xml:space="preserve">            90.212 Local Income Tax Withholding</t>
  </si>
  <si>
    <t xml:space="preserve">            90.217 State Income Tax Withholding</t>
  </si>
  <si>
    <t xml:space="preserve">            90.221 PA UC Withholding Tax</t>
  </si>
  <si>
    <t xml:space="preserve">            Direct Deposit Payable</t>
  </si>
  <si>
    <t xml:space="preserve">            Payroll Clearing</t>
  </si>
  <si>
    <t xml:space="preserve">            Payroll Tax Payable</t>
  </si>
  <si>
    <t xml:space="preserve">            Sewage Holding Tank Escrow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</si>
  <si>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</si>
  <si>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</si>
  <si>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</si>
  <si>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0125520 Street Repair Loan</t>
  </si>
  <si>
    <t xml:space="preserve">      Total Long-Term Liabilities</t>
  </si>
  <si>
    <t xml:space="preserve">   Total Liabilities</t>
  </si>
  <si>
    <t xml:space="preserve">   Equity</t>
  </si>
  <si>
    <t xml:space="preserve">      3000 Opening Bal Equity</t>
  </si>
  <si>
    <t xml:space="preserve">      3900 Retained Earnings</t>
  </si>
  <si>
    <t xml:space="preserve">      Net Income</t>
  </si>
  <si>
    <t xml:space="preserve">   Total Equity</t>
  </si>
  <si>
    <t>TOTAL LIABILITIES AND EQUITY</t>
  </si>
  <si>
    <t>PLGIT - Playground Fund</t>
  </si>
  <si>
    <t xml:space="preserve">      Correction From Prior Year</t>
  </si>
  <si>
    <t xml:space="preserve">      Other Current Assets</t>
  </si>
  <si>
    <t xml:space="preserve">      Total Other Current Assets</t>
  </si>
  <si>
    <t xml:space="preserve">   Interest Income </t>
  </si>
  <si>
    <t>2017</t>
  </si>
  <si>
    <t>As of January 31, 2017</t>
  </si>
  <si>
    <t>Sunday, Feb 19, 2017 10:02:49 AM GMT-8 - Cash Basis</t>
  </si>
  <si>
    <t>January 2017</t>
  </si>
  <si>
    <t xml:space="preserve">   0140142 Mayor - Dues &amp; Subscriptions</t>
  </si>
  <si>
    <t>Sunday, Feb 19, 2017 10:18:32 AM GMT-8 - Cash Basis</t>
  </si>
  <si>
    <t>PARRYVILLE BOROUGH - 2017 PRELIMINARY BUDGET - GENERAL FUND REVENUE</t>
  </si>
  <si>
    <t>2 of 5 payments</t>
  </si>
  <si>
    <t>Updated for 2017</t>
  </si>
  <si>
    <t>Real Estate Taxes - Prior Year - General</t>
  </si>
  <si>
    <t>Real Estate Taxes - Prior Year - Fire Protection</t>
  </si>
  <si>
    <t>Tax Claim Bureau -Fire Protection</t>
  </si>
  <si>
    <t>Occupation Taxes - Penalties</t>
  </si>
  <si>
    <t>Occupation Taxes - Delinquent</t>
  </si>
  <si>
    <t>Per Capita - Penalties</t>
  </si>
  <si>
    <t>Based on 2016 Actual</t>
  </si>
  <si>
    <t>(355) Foreign Fire Tax</t>
  </si>
  <si>
    <t>(364) Solid Waste</t>
  </si>
  <si>
    <t>PARRYVILLE BOROUGH - 2017 PRELIMINARY BUDGET -  EXPENDITURES</t>
  </si>
  <si>
    <t>1/2 in 2016 and 1/2 in 2017</t>
  </si>
  <si>
    <t>Based on Revised TAR - 54438</t>
  </si>
  <si>
    <t>Fire Equipment Fund</t>
  </si>
  <si>
    <t>UCC Enforcement Fees</t>
  </si>
  <si>
    <t>Need to adjust pay scale on resolution</t>
  </si>
  <si>
    <t xml:space="preserve">Hours Per Year Available </t>
  </si>
  <si>
    <t>PW - Street Sign Replacement Project</t>
  </si>
  <si>
    <t xml:space="preserve">PW - Rental of Equipment </t>
  </si>
  <si>
    <t xml:space="preserve">Look for grants </t>
  </si>
  <si>
    <t>Note paid off 3Q of 2018</t>
  </si>
  <si>
    <t>Carbon Animal Rescue Team</t>
  </si>
  <si>
    <t>(455) Special Purpose Expenses</t>
  </si>
  <si>
    <t>(411) Foreign Fire Tax</t>
  </si>
  <si>
    <t>(426) Solid Waste</t>
  </si>
  <si>
    <t>Net Income/(Net Loss) - Liquid Fuels</t>
  </si>
  <si>
    <t>Net Income/(Net Loss) - Foreign Fire Tax</t>
  </si>
  <si>
    <t>Net Income/(Net Loss) - Solid Waste</t>
  </si>
  <si>
    <t>Fire Company - Equipment Fund</t>
  </si>
  <si>
    <t>For the period ended: February 28, 2017</t>
  </si>
  <si>
    <t xml:space="preserve">February </t>
  </si>
  <si>
    <t>January - February, 2017</t>
  </si>
  <si>
    <t xml:space="preserve">   0131040 Occupational Priv Tax (Act 511)</t>
  </si>
  <si>
    <t xml:space="preserve">   0137000 Sale of Material</t>
  </si>
  <si>
    <t xml:space="preserve">   3535502 Liquid Fuels Tax</t>
  </si>
  <si>
    <t xml:space="preserve">   0140534 Advertising</t>
  </si>
  <si>
    <t xml:space="preserve">   0140932 Telephone Service</t>
  </si>
  <si>
    <t xml:space="preserve">   0143012 Borough Worker Supplies</t>
  </si>
  <si>
    <t xml:space="preserve">   0148602 Worker's Comp Insurance</t>
  </si>
  <si>
    <t xml:space="preserve">   0411030 Fire Company Expenses</t>
  </si>
  <si>
    <t xml:space="preserve">   490.21 Liquid Fuel Expenses</t>
  </si>
  <si>
    <t>Saturday, Mar 18, 2017 06:22:03 PM GMT-7 - Cash Basis</t>
  </si>
  <si>
    <t>Approved On: 3/27/2017</t>
  </si>
  <si>
    <t>Month Ended:  February 28, 2017</t>
  </si>
  <si>
    <t>Month End, February 27, 2017</t>
  </si>
  <si>
    <t>Cash, Balance @ 02/28/17 - per general ledger</t>
  </si>
  <si>
    <t>Adjusted Cash, Balance @ 02/28/2017</t>
  </si>
  <si>
    <t>As of February 28, 2017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</si>
</sst>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[$-409]dddd\,\ mmmm\ dd\,\ yyyy"/>
    <numFmt numFmtId="178" formatCode="[$-409]mmmm\ d\,\ yyyy;@"/>
    <numFmt numFmtId="179" formatCode="#,##0.0_);\(#,##0.0\)"/>
    <numFmt numFmtId="180" formatCode="_(* #,##0_);_(* \(#,##0\);_(* &quot;-&quot;??_);_(@_)"/>
    <numFmt numFmtId="181" formatCode="_(&quot;₩&quot;* #,##0.00_);_(&quot;₩&quot;* \(#,##0.00\);_(&quot;₩&quot;* &quot;-&quot;??_);_(* @_)"/>
    <numFmt numFmtId="182" formatCode="_(* #,##0.0_);_(* \(#,##0.0\);_(* &quot;-&quot;??_);_(@_)"/>
    <numFmt numFmtId="183" formatCode="_(* #,##0.0000_);_(* \(#,##0.0000\);_(* &quot;-&quot;????_);_(@_)"/>
    <numFmt numFmtId="184" formatCode="_(* #,##0.000_);_(* \(#,##0.000\);_(* &quot;-&quot;???_);_(@_)"/>
    <numFmt numFmtId="185" formatCode="_(* #,##0.00000_);_(* \(#,##0.00000\);_(* &quot;-&quot;?????_);_(@_)"/>
    <numFmt numFmtId="186" formatCode="#,##0.00;[Red]#,##0.00"/>
    <numFmt numFmtId="187" formatCode="&quot;₩&quot;* #,##0.00"/>
    <numFmt numFmtId="188" formatCode="_(&quot;₩&quot;* #,##0.0_);_(&quot;₩&quot;* \(#,##0.0\);_(&quot;₩&quot;* &quot;-&quot;??_);_(@_)"/>
    <numFmt numFmtId="189" formatCode="_(&quot;₩&quot;* #,##0_);_(&quot;₩&quot;* \(#,##0\);_(&quot;₩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#,##0.0"/>
    <numFmt numFmtId="196" formatCode="0.0"/>
    <numFmt numFmtId="197" formatCode="#,##0.000000000000_);\(#,##0.000000000000\)"/>
    <numFmt numFmtId="198" formatCode="_(&quot;₩&quot;* #,##0_);_(&quot;₩&quot;* \(#,##0\);_(&quot;₩&quot;* &quot;-&quot;_);_(@_)"/>
    <numFmt numFmtId="199" formatCode="_(&quot;₩&quot;* #,##0.00_);_(&quot;₩&quot;* \(#,##0.00\);_(&quot;₩&quot;* &quot;-&quot;??_);_(@_)"/>
    <numFmt numFmtId="200" formatCode="#,##0.0000000000000_);\(#,##0.0000000000000\)"/>
    <numFmt numFmtId="201" formatCode="#,##0.00000000000000_);\(#,##0.00000000000000\)"/>
    <numFmt numFmtId="202" formatCode="#,##0.000000000000000_);\(#,##0.000000000000000\)"/>
    <numFmt numFmtId="203" formatCode="#,##0.00000000000_);\(#,##0.00000000000\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0\ _€"/>
    <numFmt numFmtId="213" formatCode="&quot;₩&quot;* #,##0.00\ _€"/>
    <numFmt numFmtId="214" formatCode="&quot;$&quot;* #,##0.00\ _€"/>
    <numFmt numFmtId="215" formatCode="_(&quot;$&quot;* #,##0_);_(&quot;$&quot;* \(#,##0\);_(&quot;$&quot;* &quot;-&quot;??_);_(@_)"/>
  </numFmts>
  <fonts count="55">
    <font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10"/>
      <name val="Bookman Old Style"/>
      <family val="0"/>
    </font>
    <font>
      <b/>
      <sz val="10"/>
      <name val="Bookman Old Style"/>
      <family val="0"/>
    </font>
    <font>
      <b/>
      <sz val="12"/>
      <name val="Bookman Old Style"/>
      <family val="0"/>
    </font>
    <font>
      <b/>
      <u val="single"/>
      <sz val="10"/>
      <name val="Bookman Old Style"/>
      <family val="0"/>
    </font>
    <font>
      <sz val="8"/>
      <name val="Bookman Old Style"/>
      <family val="0"/>
    </font>
    <font>
      <b/>
      <sz val="8"/>
      <name val="Bookman Old Style"/>
      <family val="0"/>
    </font>
    <font>
      <sz val="10"/>
      <color indexed="10"/>
      <name val="Bookman Old Style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4" borderId="1" applyNumberFormat="0" applyAlignment="0" applyProtection="0"/>
    <xf numFmtId="0" fontId="49" fillId="0" borderId="6" applyNumberFormat="0" applyFill="0" applyAlignment="0" applyProtection="0"/>
    <xf numFmtId="0" fontId="50" fillId="35" borderId="0" applyNumberFormat="0" applyBorder="0" applyAlignment="0" applyProtection="0"/>
    <xf numFmtId="0" fontId="0" fillId="0" borderId="0">
      <alignment/>
      <protection/>
    </xf>
    <xf numFmtId="0" fontId="0" fillId="36" borderId="7" applyNumberFormat="0" applyFont="0" applyAlignment="0" applyProtection="0"/>
    <xf numFmtId="0" fontId="51" fillId="27" borderId="8" applyNumberFormat="0" applyAlignment="0" applyProtection="0"/>
    <xf numFmtId="0" fontId="1" fillId="3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Continuous" vertical="center" wrapText="1"/>
    </xf>
    <xf numFmtId="176" fontId="3" fillId="0" borderId="0" xfId="0" applyNumberFormat="1" applyFont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7" fontId="4" fillId="0" borderId="10" xfId="0" applyNumberFormat="1" applyFont="1" applyFill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39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" fontId="15" fillId="0" borderId="13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39" fontId="15" fillId="0" borderId="14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3" fontId="16" fillId="0" borderId="0" xfId="0" applyNumberFormat="1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0" xfId="0" applyNumberFormat="1" applyFont="1" applyAlignment="1">
      <alignment horizontal="left" wrapText="1"/>
    </xf>
    <xf numFmtId="43" fontId="18" fillId="0" borderId="0" xfId="0" applyNumberFormat="1" applyFont="1" applyBorder="1" applyAlignment="1">
      <alignment horizontal="right" wrapText="1"/>
    </xf>
    <xf numFmtId="43" fontId="0" fillId="0" borderId="0" xfId="0" applyNumberFormat="1" applyFont="1" applyAlignment="1">
      <alignment/>
    </xf>
    <xf numFmtId="43" fontId="18" fillId="0" borderId="10" xfId="0" applyNumberFormat="1" applyFont="1" applyBorder="1" applyAlignment="1">
      <alignment horizontal="right" wrapText="1"/>
    </xf>
    <xf numFmtId="40" fontId="18" fillId="0" borderId="13" xfId="0" applyNumberFormat="1" applyFont="1" applyBorder="1" applyAlignment="1">
      <alignment horizontal="right" wrapText="1"/>
    </xf>
    <xf numFmtId="43" fontId="15" fillId="0" borderId="0" xfId="0" applyNumberFormat="1" applyFont="1" applyBorder="1" applyAlignment="1">
      <alignment horizontal="left" wrapText="1"/>
    </xf>
    <xf numFmtId="43" fontId="15" fillId="0" borderId="10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39" fontId="15" fillId="0" borderId="14" xfId="0" applyNumberFormat="1" applyFont="1" applyBorder="1" applyAlignment="1">
      <alignment/>
    </xf>
    <xf numFmtId="43" fontId="1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0" fontId="18" fillId="0" borderId="10" xfId="0" applyNumberFormat="1" applyFont="1" applyBorder="1" applyAlignment="1">
      <alignment horizontal="right" wrapText="1"/>
    </xf>
    <xf numFmtId="199" fontId="18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99" fontId="0" fillId="0" borderId="0" xfId="0" applyNumberFormat="1" applyAlignment="1">
      <alignment/>
    </xf>
    <xf numFmtId="39" fontId="15" fillId="0" borderId="0" xfId="0" applyNumberFormat="1" applyFont="1" applyBorder="1" applyAlignment="1">
      <alignment horizontal="right" wrapText="1"/>
    </xf>
    <xf numFmtId="39" fontId="15" fillId="0" borderId="10" xfId="0" applyNumberFormat="1" applyFont="1" applyBorder="1" applyAlignment="1">
      <alignment horizontal="right" wrapText="1"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15" fillId="0" borderId="0" xfId="0" applyNumberFormat="1" applyFont="1" applyAlignment="1">
      <alignment horizontal="right" wrapText="1"/>
    </xf>
    <xf numFmtId="43" fontId="15" fillId="0" borderId="10" xfId="0" applyNumberFormat="1" applyFont="1" applyBorder="1" applyAlignment="1">
      <alignment horizontal="right" wrapText="1"/>
    </xf>
    <xf numFmtId="3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" fontId="18" fillId="0" borderId="0" xfId="0" applyNumberFormat="1" applyFont="1" applyAlignment="1">
      <alignment horizontal="right" wrapText="1"/>
    </xf>
    <xf numFmtId="43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4" fontId="3" fillId="0" borderId="14" xfId="0" applyNumberFormat="1" applyFont="1" applyBorder="1" applyAlignment="1">
      <alignment/>
    </xf>
    <xf numFmtId="43" fontId="18" fillId="0" borderId="14" xfId="0" applyNumberFormat="1" applyFont="1" applyBorder="1" applyAlignment="1">
      <alignment horizontal="right" wrapText="1"/>
    </xf>
    <xf numFmtId="39" fontId="15" fillId="0" borderId="13" xfId="0" applyNumberFormat="1" applyFont="1" applyBorder="1" applyAlignment="1">
      <alignment horizontal="right" wrapText="1"/>
    </xf>
    <xf numFmtId="43" fontId="18" fillId="0" borderId="13" xfId="0" applyNumberFormat="1" applyFont="1" applyBorder="1" applyAlignment="1">
      <alignment horizontal="right" wrapText="1"/>
    </xf>
    <xf numFmtId="39" fontId="1" fillId="0" borderId="13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7" fontId="3" fillId="38" borderId="15" xfId="0" applyNumberFormat="1" applyFont="1" applyFill="1" applyBorder="1" applyAlignment="1">
      <alignment/>
    </xf>
    <xf numFmtId="37" fontId="3" fillId="38" borderId="14" xfId="0" applyNumberFormat="1" applyFont="1" applyFill="1" applyBorder="1" applyAlignment="1">
      <alignment/>
    </xf>
    <xf numFmtId="37" fontId="3" fillId="39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" fillId="29" borderId="0" xfId="42" applyAlignment="1">
      <alignment/>
    </xf>
    <xf numFmtId="37" fontId="4" fillId="0" borderId="0" xfId="0" applyNumberFormat="1" applyFont="1" applyAlignment="1" quotePrefix="1">
      <alignment horizontal="center"/>
    </xf>
    <xf numFmtId="2" fontId="1" fillId="29" borderId="0" xfId="42" applyNumberFormat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80" fontId="0" fillId="0" borderId="0" xfId="44" applyNumberFormat="1" applyFont="1" applyAlignment="1">
      <alignment horizontal="center"/>
    </xf>
    <xf numFmtId="0" fontId="14" fillId="0" borderId="16" xfId="57" applyFont="1" applyBorder="1">
      <alignment/>
      <protection/>
    </xf>
    <xf numFmtId="0" fontId="19" fillId="0" borderId="16" xfId="57" applyFont="1" applyBorder="1">
      <alignment/>
      <protection/>
    </xf>
    <xf numFmtId="0" fontId="20" fillId="0" borderId="16" xfId="57" applyFont="1" applyBorder="1" applyAlignment="1" quotePrefix="1">
      <alignment horizontal="center"/>
      <protection/>
    </xf>
    <xf numFmtId="180" fontId="19" fillId="0" borderId="16" xfId="44" applyNumberFormat="1" applyFont="1" applyBorder="1" applyAlignment="1">
      <alignment horizontal="center"/>
    </xf>
    <xf numFmtId="0" fontId="19" fillId="0" borderId="16" xfId="57" applyFont="1" applyBorder="1" applyAlignment="1">
      <alignment horizontal="center"/>
      <protection/>
    </xf>
    <xf numFmtId="0" fontId="20" fillId="0" borderId="17" xfId="57" applyFont="1" applyBorder="1" applyAlignment="1" quotePrefix="1">
      <alignment horizontal="center"/>
      <protection/>
    </xf>
    <xf numFmtId="0" fontId="14" fillId="0" borderId="18" xfId="57" applyFont="1" applyBorder="1">
      <alignment/>
      <protection/>
    </xf>
    <xf numFmtId="0" fontId="19" fillId="0" borderId="18" xfId="57" applyFont="1" applyBorder="1">
      <alignment/>
      <protection/>
    </xf>
    <xf numFmtId="0" fontId="19" fillId="0" borderId="18" xfId="57" applyFont="1" applyBorder="1" applyAlignment="1">
      <alignment horizontal="center"/>
      <protection/>
    </xf>
    <xf numFmtId="180" fontId="19" fillId="0" borderId="18" xfId="44" applyNumberFormat="1" applyFont="1" applyBorder="1" applyAlignment="1">
      <alignment horizontal="center"/>
    </xf>
    <xf numFmtId="0" fontId="19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0" fontId="19" fillId="0" borderId="20" xfId="57" applyFont="1" applyBorder="1" applyAlignment="1">
      <alignment horizontal="center"/>
      <protection/>
    </xf>
    <xf numFmtId="180" fontId="19" fillId="0" borderId="20" xfId="44" applyNumberFormat="1" applyFont="1" applyBorder="1" applyAlignment="1">
      <alignment horizontal="center"/>
    </xf>
    <xf numFmtId="0" fontId="19" fillId="0" borderId="21" xfId="57" applyFont="1" applyBorder="1" applyAlignment="1">
      <alignment horizontal="center"/>
      <protection/>
    </xf>
    <xf numFmtId="37" fontId="0" fillId="0" borderId="0" xfId="44" applyNumberFormat="1" applyFont="1" applyAlignment="1">
      <alignment horizontal="center"/>
    </xf>
    <xf numFmtId="37" fontId="0" fillId="0" borderId="0" xfId="44" applyNumberFormat="1" applyFont="1" applyFill="1" applyAlignment="1">
      <alignment horizontal="center"/>
    </xf>
    <xf numFmtId="180" fontId="0" fillId="0" borderId="0" xfId="44" applyNumberFormat="1" applyFont="1" applyAlignment="1">
      <alignment horizontal="right"/>
    </xf>
    <xf numFmtId="0" fontId="0" fillId="0" borderId="22" xfId="57" applyFont="1" applyBorder="1">
      <alignment/>
      <protection/>
    </xf>
    <xf numFmtId="180" fontId="0" fillId="0" borderId="22" xfId="44" applyNumberFormat="1" applyFont="1" applyBorder="1" applyAlignment="1">
      <alignment horizontal="center"/>
    </xf>
    <xf numFmtId="37" fontId="0" fillId="0" borderId="22" xfId="44" applyNumberFormat="1" applyFont="1" applyFill="1" applyBorder="1" applyAlignment="1">
      <alignment horizontal="center"/>
    </xf>
    <xf numFmtId="37" fontId="0" fillId="0" borderId="22" xfId="44" applyNumberFormat="1" applyFont="1" applyFill="1" applyBorder="1" applyAlignment="1">
      <alignment horizontal="right"/>
    </xf>
    <xf numFmtId="0" fontId="0" fillId="0" borderId="22" xfId="57" applyFont="1" applyFill="1" applyBorder="1">
      <alignment/>
      <protection/>
    </xf>
    <xf numFmtId="0" fontId="10" fillId="0" borderId="22" xfId="57" applyFont="1" applyBorder="1">
      <alignment/>
      <protection/>
    </xf>
    <xf numFmtId="0" fontId="0" fillId="0" borderId="22" xfId="57" applyBorder="1">
      <alignment/>
      <protection/>
    </xf>
    <xf numFmtId="180" fontId="0" fillId="38" borderId="22" xfId="44" applyNumberFormat="1" applyFont="1" applyFill="1" applyBorder="1" applyAlignment="1">
      <alignment horizontal="center"/>
    </xf>
    <xf numFmtId="180" fontId="0" fillId="40" borderId="22" xfId="44" applyNumberFormat="1" applyFont="1" applyFill="1" applyBorder="1" applyAlignment="1">
      <alignment horizontal="center"/>
    </xf>
    <xf numFmtId="180" fontId="0" fillId="0" borderId="0" xfId="57" applyNumberFormat="1">
      <alignment/>
      <protection/>
    </xf>
    <xf numFmtId="180" fontId="0" fillId="0" borderId="22" xfId="44" applyNumberFormat="1" applyFont="1" applyFill="1" applyBorder="1" applyAlignment="1">
      <alignment horizontal="center"/>
    </xf>
    <xf numFmtId="37" fontId="0" fillId="0" borderId="0" xfId="57" applyNumberFormat="1">
      <alignment/>
      <protection/>
    </xf>
    <xf numFmtId="43" fontId="0" fillId="0" borderId="0" xfId="57" applyNumberFormat="1">
      <alignment/>
      <protection/>
    </xf>
    <xf numFmtId="180" fontId="0" fillId="0" borderId="10" xfId="44" applyNumberFormat="1" applyFont="1" applyBorder="1" applyAlignment="1">
      <alignment horizontal="center"/>
    </xf>
    <xf numFmtId="37" fontId="0" fillId="0" borderId="10" xfId="44" applyNumberFormat="1" applyFont="1" applyBorder="1" applyAlignment="1">
      <alignment horizontal="center"/>
    </xf>
    <xf numFmtId="180" fontId="0" fillId="0" borderId="10" xfId="44" applyNumberFormat="1" applyFont="1" applyBorder="1" applyAlignment="1">
      <alignment horizontal="right"/>
    </xf>
    <xf numFmtId="0" fontId="10" fillId="0" borderId="0" xfId="57" applyFont="1" applyAlignment="1">
      <alignment horizontal="center"/>
      <protection/>
    </xf>
    <xf numFmtId="215" fontId="21" fillId="0" borderId="10" xfId="47" applyNumberFormat="1" applyFont="1" applyBorder="1" applyAlignment="1">
      <alignment horizontal="right"/>
    </xf>
    <xf numFmtId="37" fontId="21" fillId="0" borderId="10" xfId="44" applyNumberFormat="1" applyFont="1" applyBorder="1" applyAlignment="1">
      <alignment horizontal="right"/>
    </xf>
    <xf numFmtId="37" fontId="0" fillId="0" borderId="10" xfId="44" applyNumberFormat="1" applyFont="1" applyBorder="1" applyAlignment="1">
      <alignment horizontal="right"/>
    </xf>
    <xf numFmtId="215" fontId="0" fillId="0" borderId="0" xfId="57" applyNumberFormat="1">
      <alignment/>
      <protection/>
    </xf>
    <xf numFmtId="3" fontId="0" fillId="0" borderId="13" xfId="47" applyNumberFormat="1" applyFont="1" applyBorder="1" applyAlignment="1">
      <alignment horizontal="right"/>
    </xf>
    <xf numFmtId="180" fontId="0" fillId="0" borderId="13" xfId="44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center"/>
    </xf>
    <xf numFmtId="3" fontId="21" fillId="0" borderId="13" xfId="44" applyNumberFormat="1" applyFont="1" applyBorder="1" applyAlignment="1">
      <alignment horizontal="right"/>
    </xf>
    <xf numFmtId="180" fontId="21" fillId="0" borderId="13" xfId="44" applyNumberFormat="1" applyFont="1" applyBorder="1" applyAlignment="1">
      <alignment horizontal="right"/>
    </xf>
    <xf numFmtId="3" fontId="0" fillId="0" borderId="0" xfId="44" applyNumberFormat="1" applyFont="1" applyBorder="1" applyAlignment="1">
      <alignment horizontal="right"/>
    </xf>
    <xf numFmtId="180" fontId="0" fillId="0" borderId="0" xfId="44" applyNumberFormat="1" applyFont="1" applyBorder="1" applyAlignment="1">
      <alignment horizontal="right"/>
    </xf>
    <xf numFmtId="37" fontId="0" fillId="0" borderId="0" xfId="44" applyNumberFormat="1" applyFont="1" applyBorder="1" applyAlignment="1">
      <alignment horizontal="center"/>
    </xf>
    <xf numFmtId="37" fontId="0" fillId="0" borderId="0" xfId="44" applyNumberFormat="1" applyFont="1" applyAlignment="1">
      <alignment horizontal="right"/>
    </xf>
    <xf numFmtId="180" fontId="0" fillId="0" borderId="0" xfId="44" applyNumberFormat="1" applyFont="1" applyFill="1" applyAlignment="1">
      <alignment horizontal="center"/>
    </xf>
    <xf numFmtId="37" fontId="0" fillId="0" borderId="22" xfId="44" applyNumberFormat="1" applyFont="1" applyBorder="1" applyAlignment="1">
      <alignment horizontal="right"/>
    </xf>
    <xf numFmtId="180" fontId="0" fillId="41" borderId="22" xfId="44" applyNumberFormat="1" applyFont="1" applyFill="1" applyBorder="1" applyAlignment="1">
      <alignment horizontal="center"/>
    </xf>
    <xf numFmtId="180" fontId="21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Border="1" applyAlignment="1">
      <alignment horizontal="right"/>
    </xf>
    <xf numFmtId="0" fontId="0" fillId="0" borderId="0" xfId="57" applyAlignment="1">
      <alignment horizontal="right"/>
      <protection/>
    </xf>
    <xf numFmtId="9" fontId="10" fillId="0" borderId="0" xfId="61" applyNumberFormat="1" applyFont="1" applyAlignment="1">
      <alignment horizontal="left"/>
    </xf>
    <xf numFmtId="180" fontId="0" fillId="40" borderId="22" xfId="44" applyNumberFormat="1" applyFont="1" applyFill="1" applyBorder="1" applyAlignment="1">
      <alignment horizontal="center"/>
    </xf>
    <xf numFmtId="43" fontId="0" fillId="41" borderId="0" xfId="57" applyNumberFormat="1" applyFill="1">
      <alignment/>
      <protection/>
    </xf>
    <xf numFmtId="0" fontId="0" fillId="41" borderId="0" xfId="57" applyFill="1">
      <alignment/>
      <protection/>
    </xf>
    <xf numFmtId="9" fontId="10" fillId="0" borderId="0" xfId="61" applyFont="1" applyAlignment="1">
      <alignment horizontal="left"/>
    </xf>
    <xf numFmtId="37" fontId="0" fillId="0" borderId="0" xfId="44" applyNumberFormat="1" applyFont="1" applyBorder="1" applyAlignment="1">
      <alignment horizontal="right"/>
    </xf>
    <xf numFmtId="180" fontId="0" fillId="0" borderId="22" xfId="44" applyNumberFormat="1" applyFont="1" applyFill="1" applyBorder="1" applyAlignment="1">
      <alignment horizontal="right"/>
    </xf>
    <xf numFmtId="0" fontId="10" fillId="0" borderId="0" xfId="57" applyFont="1" applyAlignment="1">
      <alignment horizontal="right"/>
      <protection/>
    </xf>
    <xf numFmtId="37" fontId="0" fillId="0" borderId="0" xfId="57" applyNumberFormat="1" applyAlignment="1">
      <alignment horizontal="right"/>
      <protection/>
    </xf>
    <xf numFmtId="180" fontId="0" fillId="0" borderId="0" xfId="57" applyNumberFormat="1" applyAlignment="1">
      <alignment horizontal="center"/>
      <protection/>
    </xf>
    <xf numFmtId="180" fontId="0" fillId="0" borderId="0" xfId="57" applyNumberFormat="1" applyAlignment="1">
      <alignment horizontal="righ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37" fontId="0" fillId="0" borderId="0" xfId="44" applyNumberFormat="1" applyFont="1" applyFill="1" applyBorder="1" applyAlignment="1">
      <alignment horizontal="right"/>
    </xf>
    <xf numFmtId="215" fontId="0" fillId="0" borderId="13" xfId="47" applyNumberFormat="1" applyFont="1" applyBorder="1" applyAlignment="1">
      <alignment horizontal="right"/>
    </xf>
    <xf numFmtId="215" fontId="0" fillId="0" borderId="23" xfId="47" applyNumberFormat="1" applyFont="1" applyBorder="1" applyAlignment="1">
      <alignment horizontal="right"/>
    </xf>
    <xf numFmtId="37" fontId="0" fillId="0" borderId="14" xfId="57" applyNumberFormat="1" applyBorder="1" applyAlignment="1">
      <alignment horizontal="right"/>
      <protection/>
    </xf>
    <xf numFmtId="37" fontId="0" fillId="0" borderId="14" xfId="57" applyNumberFormat="1" applyBorder="1" applyAlignment="1">
      <alignment horizontal="center"/>
      <protection/>
    </xf>
    <xf numFmtId="215" fontId="0" fillId="0" borderId="10" xfId="47" applyNumberFormat="1" applyFont="1" applyBorder="1" applyAlignment="1">
      <alignment horizontal="right"/>
    </xf>
    <xf numFmtId="37" fontId="0" fillId="0" borderId="10" xfId="57" applyNumberFormat="1" applyBorder="1" applyAlignment="1">
      <alignment horizontal="right"/>
      <protection/>
    </xf>
    <xf numFmtId="37" fontId="0" fillId="0" borderId="10" xfId="57" applyNumberFormat="1" applyBorder="1" applyAlignment="1">
      <alignment horizontal="center"/>
      <protection/>
    </xf>
    <xf numFmtId="37" fontId="0" fillId="0" borderId="0" xfId="57" applyNumberFormat="1" applyBorder="1" applyAlignment="1">
      <alignment horizontal="right"/>
      <protection/>
    </xf>
    <xf numFmtId="180" fontId="0" fillId="0" borderId="14" xfId="44" applyNumberFormat="1" applyFont="1" applyBorder="1" applyAlignment="1">
      <alignment horizontal="right"/>
    </xf>
    <xf numFmtId="37" fontId="0" fillId="0" borderId="0" xfId="57" applyNumberFormat="1" applyAlignment="1">
      <alignment horizontal="center"/>
      <protection/>
    </xf>
    <xf numFmtId="43" fontId="0" fillId="0" borderId="0" xfId="57" applyNumberFormat="1" applyAlignment="1">
      <alignment horizontal="center"/>
      <protection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 wrapText="1"/>
    </xf>
    <xf numFmtId="37" fontId="5" fillId="0" borderId="0" xfId="0" applyNumberFormat="1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Alignment="1">
      <alignment/>
    </xf>
    <xf numFmtId="4" fontId="0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42" borderId="24" xfId="57" applyFont="1" applyFill="1" applyBorder="1" applyAlignment="1">
      <alignment/>
      <protection/>
    </xf>
    <xf numFmtId="0" fontId="12" fillId="42" borderId="25" xfId="57" applyFont="1" applyFill="1" applyBorder="1" applyAlignment="1">
      <alignment/>
      <protection/>
    </xf>
    <xf numFmtId="0" fontId="12" fillId="42" borderId="17" xfId="57" applyFont="1" applyFill="1" applyBorder="1" applyAlignment="1">
      <alignment/>
      <protection/>
    </xf>
    <xf numFmtId="0" fontId="12" fillId="42" borderId="26" xfId="57" applyFont="1" applyFill="1" applyBorder="1" applyAlignment="1">
      <alignment/>
      <protection/>
    </xf>
    <xf numFmtId="0" fontId="12" fillId="42" borderId="11" xfId="57" applyFont="1" applyFill="1" applyBorder="1" applyAlignment="1">
      <alignment/>
      <protection/>
    </xf>
    <xf numFmtId="0" fontId="12" fillId="42" borderId="21" xfId="57" applyFont="1" applyFill="1" applyBorder="1" applyAlignment="1">
      <alignment/>
      <protection/>
    </xf>
    <xf numFmtId="0" fontId="11" fillId="42" borderId="24" xfId="57" applyFont="1" applyFill="1" applyBorder="1" applyAlignment="1">
      <alignment horizontal="center"/>
      <protection/>
    </xf>
    <xf numFmtId="0" fontId="12" fillId="42" borderId="25" xfId="57" applyFont="1" applyFill="1" applyBorder="1" applyAlignment="1">
      <alignment horizontal="center"/>
      <protection/>
    </xf>
    <xf numFmtId="0" fontId="12" fillId="42" borderId="17" xfId="57" applyFont="1" applyFill="1" applyBorder="1" applyAlignment="1">
      <alignment horizontal="center"/>
      <protection/>
    </xf>
    <xf numFmtId="0" fontId="12" fillId="42" borderId="26" xfId="57" applyFont="1" applyFill="1" applyBorder="1" applyAlignment="1">
      <alignment horizontal="center"/>
      <protection/>
    </xf>
    <xf numFmtId="0" fontId="12" fillId="42" borderId="11" xfId="57" applyFont="1" applyFill="1" applyBorder="1" applyAlignment="1">
      <alignment horizontal="center"/>
      <protection/>
    </xf>
    <xf numFmtId="0" fontId="12" fillId="42" borderId="21" xfId="57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43" fontId="0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ryville\Dropbox\11%20November%202015%20Meeting\3%20Treasurer's%20Report%20-%20Octobe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Preliminary%20Budget_Parryville%2020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15"/>
      <sheetName val="Fire Tax -Oct"/>
      <sheetName val="Liquid Fuels - Oct"/>
      <sheetName val="Solid Waste -Oct"/>
      <sheetName val="Playground-Oct"/>
      <sheetName val="BS - OCT"/>
      <sheetName val="Sheet3"/>
      <sheetName val="Worksheet"/>
      <sheetName val="OCT PL"/>
      <sheetName val="Balance Sheet"/>
      <sheetName val="Profit and Loss"/>
      <sheetName val="Profit and Loss "/>
      <sheetName val="Balance Sheet (2)"/>
    </sheetNames>
    <sheetDataSet>
      <sheetData sheetId="1">
        <row r="25">
          <cell r="C25">
            <v>-14089.63</v>
          </cell>
        </row>
      </sheetData>
      <sheetData sheetId="3">
        <row r="27">
          <cell r="C27">
            <v>-4950.849999999999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Budget Worksheet (2)"/>
      <sheetName val="2017 Budget Worksheet"/>
      <sheetName val="RE Tax Calc"/>
      <sheetName val="Profit and Loss (2)"/>
    </sheetNames>
    <sheetDataSet>
      <sheetData sheetId="2">
        <row r="20">
          <cell r="F20">
            <v>115514.7885818182</v>
          </cell>
        </row>
        <row r="22">
          <cell r="F22">
            <v>9059.983418181819</v>
          </cell>
        </row>
      </sheetData>
      <sheetData sheetId="3">
        <row r="7">
          <cell r="B7">
            <v>98075.53</v>
          </cell>
        </row>
        <row r="8">
          <cell r="B8">
            <v>1694.87</v>
          </cell>
        </row>
        <row r="9">
          <cell r="B9">
            <v>9078.8</v>
          </cell>
        </row>
        <row r="10">
          <cell r="B10">
            <v>540</v>
          </cell>
        </row>
        <row r="11">
          <cell r="B11">
            <v>20</v>
          </cell>
        </row>
        <row r="12">
          <cell r="B12">
            <v>880</v>
          </cell>
        </row>
        <row r="13">
          <cell r="B13">
            <v>35</v>
          </cell>
        </row>
        <row r="14">
          <cell r="B14">
            <v>11677.68</v>
          </cell>
        </row>
        <row r="15">
          <cell r="B15">
            <v>29724.05</v>
          </cell>
        </row>
        <row r="16">
          <cell r="B16">
            <v>1420.8</v>
          </cell>
        </row>
        <row r="17">
          <cell r="B17">
            <v>169.51</v>
          </cell>
        </row>
        <row r="18">
          <cell r="B18">
            <v>7.2</v>
          </cell>
        </row>
        <row r="19">
          <cell r="B19">
            <v>2</v>
          </cell>
        </row>
        <row r="20">
          <cell r="B20">
            <v>3.5</v>
          </cell>
        </row>
        <row r="21">
          <cell r="B21">
            <v>5</v>
          </cell>
        </row>
        <row r="22">
          <cell r="B22">
            <v>144.57</v>
          </cell>
        </row>
        <row r="23">
          <cell r="B23">
            <v>96.25</v>
          </cell>
        </row>
        <row r="24">
          <cell r="B24">
            <v>59.48</v>
          </cell>
        </row>
        <row r="26">
          <cell r="B26">
            <v>12</v>
          </cell>
        </row>
        <row r="27">
          <cell r="B27">
            <v>201.36</v>
          </cell>
        </row>
        <row r="28">
          <cell r="B28">
            <v>300</v>
          </cell>
        </row>
        <row r="29">
          <cell r="B29">
            <v>2734.8</v>
          </cell>
        </row>
        <row r="30">
          <cell r="B30">
            <v>1126</v>
          </cell>
        </row>
        <row r="31">
          <cell r="B31">
            <v>900</v>
          </cell>
        </row>
        <row r="32">
          <cell r="B32">
            <v>200</v>
          </cell>
        </row>
        <row r="33">
          <cell r="B33">
            <v>9169.87</v>
          </cell>
        </row>
        <row r="34">
          <cell r="B34">
            <v>400.2</v>
          </cell>
        </row>
        <row r="35">
          <cell r="B35">
            <v>36569.78</v>
          </cell>
        </row>
        <row r="36">
          <cell r="B36">
            <v>3209.1</v>
          </cell>
        </row>
        <row r="37">
          <cell r="B37">
            <v>-1430.36</v>
          </cell>
        </row>
        <row r="38">
          <cell r="B38">
            <v>-124.37</v>
          </cell>
        </row>
        <row r="39">
          <cell r="B39">
            <v>1.3</v>
          </cell>
        </row>
        <row r="40">
          <cell r="B40">
            <v>-15.6</v>
          </cell>
        </row>
        <row r="41">
          <cell r="B41">
            <v>22054.15</v>
          </cell>
        </row>
        <row r="42">
          <cell r="B42">
            <v>280.5</v>
          </cell>
        </row>
        <row r="43">
          <cell r="B43">
            <v>478.18</v>
          </cell>
        </row>
        <row r="44">
          <cell r="B44">
            <v>284.8</v>
          </cell>
        </row>
        <row r="45">
          <cell r="B45">
            <v>808.51</v>
          </cell>
        </row>
        <row r="50">
          <cell r="B50">
            <v>3850</v>
          </cell>
        </row>
        <row r="51">
          <cell r="B51">
            <v>49</v>
          </cell>
        </row>
        <row r="52">
          <cell r="B52">
            <v>309</v>
          </cell>
        </row>
        <row r="53">
          <cell r="B53">
            <v>851</v>
          </cell>
        </row>
        <row r="54">
          <cell r="B54">
            <v>803.25</v>
          </cell>
        </row>
        <row r="55">
          <cell r="B55">
            <v>599</v>
          </cell>
        </row>
        <row r="56">
          <cell r="B56">
            <v>1000</v>
          </cell>
        </row>
        <row r="57">
          <cell r="B57">
            <v>2700</v>
          </cell>
        </row>
        <row r="58">
          <cell r="B58">
            <v>2500</v>
          </cell>
        </row>
        <row r="59">
          <cell r="B59">
            <v>246.56</v>
          </cell>
        </row>
        <row r="60">
          <cell r="B60">
            <v>6.45</v>
          </cell>
        </row>
        <row r="61">
          <cell r="B61">
            <v>4787.68</v>
          </cell>
        </row>
        <row r="62">
          <cell r="B62">
            <v>5920</v>
          </cell>
        </row>
        <row r="63">
          <cell r="B63">
            <v>415.48</v>
          </cell>
        </row>
        <row r="64">
          <cell r="B64">
            <v>845.52</v>
          </cell>
        </row>
        <row r="65">
          <cell r="B65">
            <v>77.68</v>
          </cell>
        </row>
        <row r="66">
          <cell r="B66">
            <v>287.91</v>
          </cell>
        </row>
        <row r="67">
          <cell r="B67">
            <v>1065.56</v>
          </cell>
        </row>
        <row r="68">
          <cell r="B68">
            <v>1124</v>
          </cell>
        </row>
        <row r="69">
          <cell r="B69">
            <v>5864</v>
          </cell>
        </row>
        <row r="70">
          <cell r="B70">
            <v>102</v>
          </cell>
        </row>
        <row r="71">
          <cell r="B71">
            <v>623.02</v>
          </cell>
        </row>
        <row r="72">
          <cell r="B72">
            <v>508.43</v>
          </cell>
        </row>
        <row r="73">
          <cell r="B73">
            <v>509.16</v>
          </cell>
        </row>
        <row r="74">
          <cell r="B74">
            <v>540.33</v>
          </cell>
        </row>
        <row r="75">
          <cell r="B75">
            <v>1508.74</v>
          </cell>
        </row>
        <row r="76">
          <cell r="B76">
            <v>2734.8</v>
          </cell>
        </row>
        <row r="77">
          <cell r="B77">
            <v>137.5</v>
          </cell>
        </row>
        <row r="78">
          <cell r="B78">
            <v>1717.5</v>
          </cell>
        </row>
        <row r="79">
          <cell r="B79">
            <v>10057.22</v>
          </cell>
        </row>
        <row r="80">
          <cell r="B80">
            <v>731.39</v>
          </cell>
        </row>
        <row r="81">
          <cell r="B81">
            <v>882.91</v>
          </cell>
        </row>
        <row r="82">
          <cell r="B82">
            <v>971.29</v>
          </cell>
        </row>
        <row r="83">
          <cell r="B83">
            <v>958.12</v>
          </cell>
        </row>
        <row r="84">
          <cell r="B84">
            <v>1887.5</v>
          </cell>
        </row>
        <row r="85">
          <cell r="B85">
            <v>8116.28</v>
          </cell>
        </row>
        <row r="86">
          <cell r="B86">
            <v>100</v>
          </cell>
        </row>
        <row r="88">
          <cell r="B88">
            <v>52.5</v>
          </cell>
        </row>
        <row r="89">
          <cell r="B89">
            <v>1220.22</v>
          </cell>
        </row>
        <row r="90">
          <cell r="B90">
            <v>46919.07</v>
          </cell>
        </row>
        <row r="91">
          <cell r="B91">
            <v>7767.77</v>
          </cell>
        </row>
        <row r="92">
          <cell r="B92">
            <v>1472.31</v>
          </cell>
        </row>
        <row r="93">
          <cell r="B93">
            <v>2926</v>
          </cell>
        </row>
        <row r="94">
          <cell r="B94">
            <v>1923</v>
          </cell>
        </row>
        <row r="95">
          <cell r="B95">
            <v>3248</v>
          </cell>
        </row>
        <row r="96">
          <cell r="B96">
            <v>13375</v>
          </cell>
        </row>
        <row r="97">
          <cell r="B97">
            <v>984.4</v>
          </cell>
        </row>
        <row r="99">
          <cell r="B99">
            <v>37253.77</v>
          </cell>
        </row>
        <row r="101">
          <cell r="B101">
            <v>16038.09</v>
          </cell>
        </row>
        <row r="103">
          <cell r="B103">
            <v>320.02</v>
          </cell>
        </row>
        <row r="104">
          <cell r="B104">
            <v>411.5</v>
          </cell>
        </row>
        <row r="106">
          <cell r="B106">
            <v>123.94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5"/>
  <sheetViews>
    <sheetView tabSelected="1" zoomScale="89" zoomScaleNormal="89" zoomScalePageLayoutView="0" workbookViewId="0" topLeftCell="A1">
      <selection activeCell="E57" sqref="E57"/>
    </sheetView>
  </sheetViews>
  <sheetFormatPr defaultColWidth="9.140625" defaultRowHeight="12.75"/>
  <cols>
    <col min="1" max="1" width="11.7109375" style="5" customWidth="1"/>
    <col min="2" max="2" width="9.28125" style="13" customWidth="1"/>
    <col min="3" max="3" width="43.8515625" style="5" customWidth="1"/>
    <col min="4" max="4" width="19.140625" style="24" customWidth="1"/>
    <col min="5" max="5" width="11.28125" style="20" customWidth="1"/>
    <col min="6" max="6" width="17.421875" style="20" customWidth="1"/>
    <col min="7" max="7" width="9.140625" style="5" customWidth="1"/>
    <col min="8" max="8" width="24.8515625" style="5" customWidth="1"/>
    <col min="9" max="16384" width="9.140625" style="5" customWidth="1"/>
  </cols>
  <sheetData>
    <row r="2" spans="1:6" ht="12.75">
      <c r="A2" s="1"/>
      <c r="B2" s="2"/>
      <c r="C2" s="1"/>
      <c r="D2" s="3"/>
      <c r="E2" s="4"/>
      <c r="F2" s="4"/>
    </row>
    <row r="3" spans="1:6" s="11" customFormat="1" ht="15">
      <c r="A3" s="6"/>
      <c r="B3" s="7"/>
      <c r="C3" s="198" t="s">
        <v>0</v>
      </c>
      <c r="D3" s="199"/>
      <c r="E3" s="200"/>
      <c r="F3" s="10"/>
    </row>
    <row r="4" spans="1:6" s="11" customFormat="1" ht="15">
      <c r="A4" s="6"/>
      <c r="B4" s="12"/>
      <c r="C4" s="198" t="s">
        <v>1</v>
      </c>
      <c r="D4" s="201"/>
      <c r="E4" s="200"/>
      <c r="F4" s="10"/>
    </row>
    <row r="5" spans="1:6" s="11" customFormat="1" ht="15">
      <c r="A5" s="6"/>
      <c r="B5" s="12"/>
      <c r="C5" s="198" t="s">
        <v>531</v>
      </c>
      <c r="D5" s="201"/>
      <c r="E5" s="200"/>
      <c r="F5" s="10"/>
    </row>
    <row r="7" spans="4:6" ht="12.75">
      <c r="D7" s="14"/>
      <c r="E7" s="112" t="s">
        <v>494</v>
      </c>
      <c r="F7" s="15"/>
    </row>
    <row r="8" spans="1:6" ht="12.75">
      <c r="A8" s="16" t="s">
        <v>2</v>
      </c>
      <c r="D8" s="17" t="s">
        <v>532</v>
      </c>
      <c r="E8" s="18" t="s">
        <v>3</v>
      </c>
      <c r="F8" s="18" t="s">
        <v>4</v>
      </c>
    </row>
    <row r="9" spans="2:6" ht="12.75">
      <c r="B9" s="13">
        <v>130</v>
      </c>
      <c r="C9" s="5" t="s">
        <v>5</v>
      </c>
      <c r="D9" s="19">
        <v>0</v>
      </c>
      <c r="E9" s="20">
        <v>13881</v>
      </c>
      <c r="F9" s="20">
        <f aca="true" t="shared" si="0" ref="F9:F54">D9-E9</f>
        <v>-13881</v>
      </c>
    </row>
    <row r="10" spans="2:6" ht="12.75">
      <c r="B10" s="13">
        <v>130</v>
      </c>
      <c r="C10" s="5" t="s">
        <v>6</v>
      </c>
      <c r="D10" s="19">
        <f>5258.2+3502</f>
        <v>8760.2</v>
      </c>
      <c r="E10" s="20">
        <v>8760</v>
      </c>
      <c r="F10" s="20">
        <f t="shared" si="0"/>
        <v>0.2000000000007276</v>
      </c>
    </row>
    <row r="11" spans="1:6" ht="13.5">
      <c r="A11" s="21"/>
      <c r="B11" s="13">
        <v>300.2</v>
      </c>
      <c r="C11" s="5" t="s">
        <v>7</v>
      </c>
      <c r="D11" s="19">
        <v>0</v>
      </c>
      <c r="E11" s="20">
        <v>0</v>
      </c>
      <c r="F11" s="20">
        <f t="shared" si="0"/>
        <v>0</v>
      </c>
    </row>
    <row r="12" spans="1:8" ht="12.75">
      <c r="A12" s="22" t="s">
        <v>8</v>
      </c>
      <c r="B12" s="13">
        <v>301.1</v>
      </c>
      <c r="C12" s="5" t="s">
        <v>9</v>
      </c>
      <c r="D12" s="19">
        <v>0</v>
      </c>
      <c r="E12" s="20">
        <v>115514.7885818182</v>
      </c>
      <c r="F12" s="20">
        <f t="shared" si="0"/>
        <v>-115514.7885818182</v>
      </c>
      <c r="G12" s="95"/>
      <c r="H12" s="20"/>
    </row>
    <row r="13" spans="1:6" ht="12.75">
      <c r="A13" s="22"/>
      <c r="C13" s="5" t="s">
        <v>10</v>
      </c>
      <c r="D13" s="96">
        <v>0</v>
      </c>
      <c r="E13" s="20">
        <v>0</v>
      </c>
      <c r="F13" s="20">
        <f t="shared" si="0"/>
        <v>0</v>
      </c>
    </row>
    <row r="14" spans="1:8" ht="12.75">
      <c r="A14" s="22"/>
      <c r="B14" s="13">
        <v>301.901</v>
      </c>
      <c r="C14" s="5" t="s">
        <v>11</v>
      </c>
      <c r="D14" s="96">
        <f>Sheet4!B12</f>
        <v>235.15</v>
      </c>
      <c r="E14" s="20">
        <v>0</v>
      </c>
      <c r="F14" s="20">
        <f t="shared" si="0"/>
        <v>235.15</v>
      </c>
      <c r="H14" s="110"/>
    </row>
    <row r="15" spans="1:6" ht="12.75">
      <c r="A15" s="22"/>
      <c r="B15" s="13">
        <v>301.102</v>
      </c>
      <c r="C15" s="5" t="s">
        <v>12</v>
      </c>
      <c r="D15" s="96">
        <f>Sheet4!B7</f>
        <v>2116.4</v>
      </c>
      <c r="E15" s="20">
        <v>0</v>
      </c>
      <c r="F15" s="20">
        <f t="shared" si="0"/>
        <v>2116.4</v>
      </c>
    </row>
    <row r="16" spans="1:6" ht="12.75">
      <c r="A16" s="22" t="s">
        <v>13</v>
      </c>
      <c r="B16" s="13">
        <v>301.11</v>
      </c>
      <c r="C16" s="5" t="s">
        <v>14</v>
      </c>
      <c r="D16" s="96">
        <v>0</v>
      </c>
      <c r="E16" s="20">
        <v>9059.983418181819</v>
      </c>
      <c r="F16" s="20">
        <f t="shared" si="0"/>
        <v>-9059.983418181819</v>
      </c>
    </row>
    <row r="17" spans="1:6" ht="12.75">
      <c r="A17" s="22"/>
      <c r="C17" s="5" t="s">
        <v>15</v>
      </c>
      <c r="D17" s="96">
        <v>0</v>
      </c>
      <c r="E17" s="20">
        <v>0</v>
      </c>
      <c r="F17" s="20">
        <f t="shared" si="0"/>
        <v>0</v>
      </c>
    </row>
    <row r="18" spans="1:6" ht="12.75">
      <c r="A18" s="22"/>
      <c r="B18" s="13">
        <v>301.112</v>
      </c>
      <c r="C18" s="5" t="s">
        <v>16</v>
      </c>
      <c r="D18" s="96">
        <f>Sheet4!B18</f>
        <v>235.16</v>
      </c>
      <c r="E18" s="20">
        <v>0</v>
      </c>
      <c r="F18" s="20">
        <f t="shared" si="0"/>
        <v>235.16</v>
      </c>
    </row>
    <row r="19" spans="1:6" ht="12.75">
      <c r="A19" s="22"/>
      <c r="B19" s="13">
        <v>301.902</v>
      </c>
      <c r="C19" s="5" t="s">
        <v>17</v>
      </c>
      <c r="D19" s="96">
        <v>0</v>
      </c>
      <c r="E19" s="20">
        <v>0</v>
      </c>
      <c r="F19" s="20">
        <f t="shared" si="0"/>
        <v>0</v>
      </c>
    </row>
    <row r="20" spans="1:6" ht="12.75">
      <c r="A20" s="11"/>
      <c r="B20" s="13">
        <v>301.4</v>
      </c>
      <c r="C20" s="5" t="s">
        <v>18</v>
      </c>
      <c r="D20" s="96">
        <f>Sheet4!B8</f>
        <v>500.78</v>
      </c>
      <c r="E20" s="20">
        <v>7500</v>
      </c>
      <c r="F20" s="20">
        <f t="shared" si="0"/>
        <v>-6999.22</v>
      </c>
    </row>
    <row r="21" spans="1:6" ht="12.75">
      <c r="A21" s="11"/>
      <c r="C21" s="5" t="s">
        <v>19</v>
      </c>
      <c r="D21" s="96">
        <f>Sheet4!B24</f>
        <v>55.64</v>
      </c>
      <c r="E21" s="20">
        <v>500</v>
      </c>
      <c r="F21" s="20">
        <f t="shared" si="0"/>
        <v>-444.36</v>
      </c>
    </row>
    <row r="22" spans="1:6" ht="12.75">
      <c r="A22" s="22" t="s">
        <v>20</v>
      </c>
      <c r="B22" s="13">
        <v>305.1</v>
      </c>
      <c r="C22" s="5" t="s">
        <v>21</v>
      </c>
      <c r="D22" s="96">
        <v>0</v>
      </c>
      <c r="E22" s="20">
        <v>600</v>
      </c>
      <c r="F22" s="20">
        <f t="shared" si="0"/>
        <v>-600</v>
      </c>
    </row>
    <row r="23" spans="1:6" ht="12.75">
      <c r="A23" s="22"/>
      <c r="C23" s="5" t="s">
        <v>22</v>
      </c>
      <c r="D23" s="96">
        <v>0</v>
      </c>
      <c r="E23" s="20">
        <v>0</v>
      </c>
      <c r="F23" s="20">
        <f t="shared" si="0"/>
        <v>0</v>
      </c>
    </row>
    <row r="24" spans="1:6" ht="13.5">
      <c r="A24" s="21"/>
      <c r="B24" s="13">
        <v>305.2</v>
      </c>
      <c r="C24" s="5" t="s">
        <v>23</v>
      </c>
      <c r="D24" s="96">
        <v>0</v>
      </c>
      <c r="E24" s="20">
        <v>0</v>
      </c>
      <c r="F24" s="20">
        <f t="shared" si="0"/>
        <v>0</v>
      </c>
    </row>
    <row r="25" spans="1:6" ht="13.5">
      <c r="A25" s="21"/>
      <c r="C25" s="5" t="s">
        <v>24</v>
      </c>
      <c r="D25" s="96">
        <v>0</v>
      </c>
      <c r="E25" s="20">
        <v>0</v>
      </c>
      <c r="F25" s="20">
        <f t="shared" si="0"/>
        <v>0</v>
      </c>
    </row>
    <row r="26" spans="1:6" ht="13.5">
      <c r="A26" s="21"/>
      <c r="C26" s="5" t="s">
        <v>25</v>
      </c>
      <c r="D26" s="96">
        <f>Sheet4!B22</f>
        <v>81.95</v>
      </c>
      <c r="F26" s="20">
        <f t="shared" si="0"/>
        <v>81.95</v>
      </c>
    </row>
    <row r="27" spans="2:6" ht="12.75">
      <c r="B27" s="13">
        <v>310.01</v>
      </c>
      <c r="C27" s="5" t="s">
        <v>26</v>
      </c>
      <c r="D27" s="19">
        <v>0</v>
      </c>
      <c r="E27" s="20">
        <v>1000</v>
      </c>
      <c r="F27" s="20">
        <f t="shared" si="0"/>
        <v>-1000</v>
      </c>
    </row>
    <row r="28" spans="3:6" ht="12.75">
      <c r="C28" s="5" t="s">
        <v>27</v>
      </c>
      <c r="D28" s="96">
        <v>0</v>
      </c>
      <c r="E28" s="20">
        <v>0</v>
      </c>
      <c r="F28" s="20">
        <f t="shared" si="0"/>
        <v>0</v>
      </c>
    </row>
    <row r="29" spans="3:6" ht="12.75">
      <c r="C29" s="5" t="s">
        <v>28</v>
      </c>
      <c r="D29" s="96">
        <v>0</v>
      </c>
      <c r="F29" s="20">
        <f t="shared" si="0"/>
        <v>0</v>
      </c>
    </row>
    <row r="30" spans="2:6" ht="12.75">
      <c r="B30" s="13">
        <v>310.02</v>
      </c>
      <c r="C30" s="5" t="s">
        <v>29</v>
      </c>
      <c r="D30" s="19">
        <f>Sheet4!B9</f>
        <v>5.5</v>
      </c>
      <c r="E30" s="20">
        <v>0</v>
      </c>
      <c r="F30" s="20">
        <f t="shared" si="0"/>
        <v>5.5</v>
      </c>
    </row>
    <row r="31" spans="2:6" ht="12.75">
      <c r="B31" s="13">
        <v>310.2</v>
      </c>
      <c r="C31" s="5" t="s">
        <v>30</v>
      </c>
      <c r="D31" s="19">
        <f>Sheet4!B23</f>
        <v>55</v>
      </c>
      <c r="E31" s="20">
        <v>100</v>
      </c>
      <c r="F31" s="20">
        <f t="shared" si="0"/>
        <v>-45</v>
      </c>
    </row>
    <row r="32" spans="2:6" ht="12.75">
      <c r="B32" s="13">
        <v>310.1</v>
      </c>
      <c r="C32" s="5" t="s">
        <v>31</v>
      </c>
      <c r="D32" s="19">
        <v>0</v>
      </c>
      <c r="E32" s="20">
        <v>1000</v>
      </c>
      <c r="F32" s="20">
        <f t="shared" si="0"/>
        <v>-1000</v>
      </c>
    </row>
    <row r="33" spans="2:6" ht="12.75">
      <c r="B33" s="13">
        <v>310.21</v>
      </c>
      <c r="C33" s="5" t="s">
        <v>32</v>
      </c>
      <c r="D33" s="19">
        <f>Sheet4!B10</f>
        <v>6856.14</v>
      </c>
      <c r="E33" s="20">
        <v>30000</v>
      </c>
      <c r="F33" s="20">
        <f t="shared" si="0"/>
        <v>-23143.86</v>
      </c>
    </row>
    <row r="34" spans="2:6" ht="12.75">
      <c r="B34" s="13">
        <v>310.4</v>
      </c>
      <c r="C34" s="5" t="s">
        <v>33</v>
      </c>
      <c r="D34" s="19">
        <f>Sheet4!B11</f>
        <v>50</v>
      </c>
      <c r="E34" s="20">
        <v>1000</v>
      </c>
      <c r="F34" s="20">
        <f t="shared" si="0"/>
        <v>-950</v>
      </c>
    </row>
    <row r="35" spans="2:6" ht="12.75">
      <c r="B35" s="13">
        <v>320.01</v>
      </c>
      <c r="C35" s="5" t="s">
        <v>34</v>
      </c>
      <c r="D35" s="19">
        <v>0</v>
      </c>
      <c r="E35" s="20">
        <v>0</v>
      </c>
      <c r="F35" s="20">
        <f t="shared" si="0"/>
        <v>0</v>
      </c>
    </row>
    <row r="36" spans="2:6" ht="12.75">
      <c r="B36" s="13">
        <v>330.01</v>
      </c>
      <c r="C36" s="5" t="s">
        <v>35</v>
      </c>
      <c r="D36" s="19">
        <v>0</v>
      </c>
      <c r="E36" s="20">
        <v>0</v>
      </c>
      <c r="F36" s="20">
        <f t="shared" si="0"/>
        <v>0</v>
      </c>
    </row>
    <row r="37" spans="2:6" ht="12.75">
      <c r="B37" s="13">
        <v>331.13</v>
      </c>
      <c r="C37" s="5" t="s">
        <v>36</v>
      </c>
      <c r="D37" s="19">
        <f>Sheet4!B13</f>
        <v>196.87</v>
      </c>
      <c r="E37" s="20">
        <v>200</v>
      </c>
      <c r="F37" s="20">
        <f t="shared" si="0"/>
        <v>-3.1299999999999955</v>
      </c>
    </row>
    <row r="38" spans="2:6" ht="12.75" hidden="1">
      <c r="B38" s="13">
        <v>330.3</v>
      </c>
      <c r="C38" s="5" t="s">
        <v>37</v>
      </c>
      <c r="D38" s="19"/>
      <c r="E38" s="20">
        <v>0</v>
      </c>
      <c r="F38" s="20">
        <f t="shared" si="0"/>
        <v>0</v>
      </c>
    </row>
    <row r="39" spans="2:6" ht="12.75">
      <c r="B39" s="13">
        <v>341</v>
      </c>
      <c r="C39" s="5" t="s">
        <v>38</v>
      </c>
      <c r="D39" s="19">
        <f>Sheet4!B14-Sheet4!B15</f>
        <v>47.33999999999999</v>
      </c>
      <c r="E39" s="20">
        <v>30</v>
      </c>
      <c r="F39" s="20">
        <f t="shared" si="0"/>
        <v>17.33999999999999</v>
      </c>
    </row>
    <row r="40" spans="2:6" ht="12.75">
      <c r="B40" s="13">
        <v>340.02</v>
      </c>
      <c r="C40" s="5" t="s">
        <v>39</v>
      </c>
      <c r="D40" s="19">
        <v>0</v>
      </c>
      <c r="E40" s="20">
        <v>12</v>
      </c>
      <c r="F40" s="20">
        <f t="shared" si="0"/>
        <v>-12</v>
      </c>
    </row>
    <row r="41" spans="2:6" ht="12.75">
      <c r="B41" s="13">
        <v>350.01</v>
      </c>
      <c r="C41" s="5" t="s">
        <v>40</v>
      </c>
      <c r="D41" s="19">
        <v>0</v>
      </c>
      <c r="E41" s="20">
        <v>200</v>
      </c>
      <c r="F41" s="20">
        <f t="shared" si="0"/>
        <v>-200</v>
      </c>
    </row>
    <row r="42" spans="2:6" ht="12.75">
      <c r="B42" s="13">
        <v>355.07</v>
      </c>
      <c r="C42" s="5" t="s">
        <v>41</v>
      </c>
      <c r="D42" s="19">
        <v>0</v>
      </c>
      <c r="E42" s="20">
        <v>2735</v>
      </c>
      <c r="F42" s="20">
        <f t="shared" si="0"/>
        <v>-2735</v>
      </c>
    </row>
    <row r="43" spans="2:6" ht="12.75">
      <c r="B43" s="13">
        <v>355.08</v>
      </c>
      <c r="C43" s="5" t="s">
        <v>42</v>
      </c>
      <c r="D43" s="19">
        <v>0</v>
      </c>
      <c r="E43" s="20">
        <v>150</v>
      </c>
      <c r="F43" s="20">
        <f t="shared" si="0"/>
        <v>-150</v>
      </c>
    </row>
    <row r="44" spans="2:6" ht="12.75">
      <c r="B44" s="13">
        <v>360.1</v>
      </c>
      <c r="C44" s="5" t="s">
        <v>43</v>
      </c>
      <c r="D44" s="19">
        <v>0</v>
      </c>
      <c r="E44" s="20">
        <v>45000</v>
      </c>
      <c r="F44" s="20">
        <f t="shared" si="0"/>
        <v>-45000</v>
      </c>
    </row>
    <row r="45" spans="2:6" ht="12.75">
      <c r="B45" s="13">
        <v>306.02</v>
      </c>
      <c r="C45" s="5" t="s">
        <v>44</v>
      </c>
      <c r="D45" s="19">
        <f>Sheet4!B19+Sheet4!B20</f>
        <v>3338.5800000000004</v>
      </c>
      <c r="E45" s="20">
        <v>1000</v>
      </c>
      <c r="F45" s="20">
        <f t="shared" si="0"/>
        <v>2338.5800000000004</v>
      </c>
    </row>
    <row r="46" spans="2:6" ht="12.75">
      <c r="B46" s="13">
        <v>361.3</v>
      </c>
      <c r="C46" s="5" t="s">
        <v>45</v>
      </c>
      <c r="D46" s="19">
        <v>0</v>
      </c>
      <c r="E46" s="20">
        <v>250</v>
      </c>
      <c r="F46" s="20">
        <f t="shared" si="0"/>
        <v>-250</v>
      </c>
    </row>
    <row r="47" spans="3:6" ht="12.75">
      <c r="C47" s="5" t="s">
        <v>47</v>
      </c>
      <c r="D47" s="19">
        <v>0</v>
      </c>
      <c r="E47" s="20">
        <v>250</v>
      </c>
      <c r="F47" s="20">
        <f t="shared" si="0"/>
        <v>-250</v>
      </c>
    </row>
    <row r="48" spans="2:6" ht="12.75">
      <c r="B48" s="13">
        <v>361.33</v>
      </c>
      <c r="C48" s="5" t="s">
        <v>48</v>
      </c>
      <c r="D48" s="19"/>
      <c r="E48" s="20">
        <v>250</v>
      </c>
      <c r="F48" s="20">
        <f t="shared" si="0"/>
        <v>-250</v>
      </c>
    </row>
    <row r="49" spans="2:6" ht="12.75">
      <c r="B49" s="13">
        <v>370</v>
      </c>
      <c r="C49" s="5" t="s">
        <v>49</v>
      </c>
      <c r="D49" s="19">
        <f>Sheet4!B17</f>
        <v>800</v>
      </c>
      <c r="E49" s="20">
        <v>0</v>
      </c>
      <c r="F49" s="20">
        <f t="shared" si="0"/>
        <v>800</v>
      </c>
    </row>
    <row r="50" spans="2:6" ht="12.75">
      <c r="B50" s="13">
        <v>380</v>
      </c>
      <c r="C50" s="5" t="s">
        <v>50</v>
      </c>
      <c r="D50" s="19">
        <v>0</v>
      </c>
      <c r="E50" s="20">
        <v>150</v>
      </c>
      <c r="F50" s="20">
        <f t="shared" si="0"/>
        <v>-150</v>
      </c>
    </row>
    <row r="51" spans="2:6" ht="12.75">
      <c r="B51" s="13">
        <v>387</v>
      </c>
      <c r="C51" s="5" t="s">
        <v>51</v>
      </c>
      <c r="D51" s="19">
        <v>0</v>
      </c>
      <c r="E51" s="20">
        <v>100</v>
      </c>
      <c r="F51" s="20">
        <f t="shared" si="0"/>
        <v>-100</v>
      </c>
    </row>
    <row r="52" spans="2:6" ht="12.75">
      <c r="B52" s="13">
        <v>355.041</v>
      </c>
      <c r="C52" s="5" t="s">
        <v>52</v>
      </c>
      <c r="D52" s="19">
        <f>10.43+11.55</f>
        <v>21.98</v>
      </c>
      <c r="E52" s="20">
        <v>25</v>
      </c>
      <c r="F52" s="20">
        <f t="shared" si="0"/>
        <v>-3.0199999999999996</v>
      </c>
    </row>
    <row r="53" spans="2:6" ht="12.75">
      <c r="B53" s="13">
        <v>355</v>
      </c>
      <c r="C53" s="5" t="s">
        <v>53</v>
      </c>
      <c r="D53" s="19">
        <f>Sheet4!B21</f>
        <v>23071.62</v>
      </c>
      <c r="E53" s="20">
        <v>22594.16</v>
      </c>
      <c r="F53" s="20">
        <f t="shared" si="0"/>
        <v>477.4599999999991</v>
      </c>
    </row>
    <row r="54" spans="3:6" ht="12.75">
      <c r="C54" s="5" t="s">
        <v>54</v>
      </c>
      <c r="D54" s="19">
        <v>22</v>
      </c>
      <c r="E54" s="23">
        <v>0</v>
      </c>
      <c r="F54" s="20">
        <f t="shared" si="0"/>
        <v>22</v>
      </c>
    </row>
    <row r="55" spans="3:10" ht="12.75">
      <c r="C55" s="11" t="s">
        <v>55</v>
      </c>
      <c r="D55" s="104">
        <f>SUM(D9:D54)</f>
        <v>46450.31</v>
      </c>
      <c r="E55" s="104">
        <f>SUM(E9:E54)</f>
        <v>261861.93200000003</v>
      </c>
      <c r="F55" s="104">
        <f>SUM(F9:F54)</f>
        <v>-215411.62200000003</v>
      </c>
      <c r="H55" s="20"/>
      <c r="I55" s="95"/>
      <c r="J55" s="20"/>
    </row>
    <row r="56" spans="3:10" ht="12.75">
      <c r="C56" s="11"/>
      <c r="D56" s="30"/>
      <c r="E56" s="31"/>
      <c r="F56" s="31"/>
      <c r="H56" s="20"/>
      <c r="I56" s="95"/>
      <c r="J56" s="20"/>
    </row>
    <row r="57" spans="3:10" ht="14.25" customHeight="1">
      <c r="C57" s="11"/>
      <c r="D57" s="30"/>
      <c r="E57" s="31"/>
      <c r="F57" s="31"/>
      <c r="H57" s="20"/>
      <c r="I57" s="95"/>
      <c r="J57" s="20"/>
    </row>
    <row r="58" spans="2:8" ht="12.75">
      <c r="B58" s="5"/>
      <c r="D58" s="27"/>
      <c r="E58" s="25"/>
      <c r="F58" s="5"/>
      <c r="G58" s="20"/>
      <c r="H58" s="20"/>
    </row>
    <row r="59" spans="2:6" ht="12.75">
      <c r="B59" s="5"/>
      <c r="D59" s="14"/>
      <c r="E59" s="15" t="str">
        <f>E7</f>
        <v>2017</v>
      </c>
      <c r="F59" s="15"/>
    </row>
    <row r="60" spans="2:6" ht="12.75">
      <c r="B60" s="5"/>
      <c r="D60" s="17" t="str">
        <f>D8</f>
        <v>February </v>
      </c>
      <c r="E60" s="18" t="s">
        <v>3</v>
      </c>
      <c r="F60" s="18" t="s">
        <v>4</v>
      </c>
    </row>
    <row r="61" ht="12.75">
      <c r="A61" s="16" t="s">
        <v>56</v>
      </c>
    </row>
    <row r="62" spans="1:6" ht="12.75">
      <c r="A62" s="5">
        <v>400</v>
      </c>
      <c r="B62" s="26" t="s">
        <v>57</v>
      </c>
      <c r="D62" s="27"/>
      <c r="F62" s="28"/>
    </row>
    <row r="63" spans="2:6" ht="12.75" hidden="1">
      <c r="B63" s="13">
        <v>400.063</v>
      </c>
      <c r="C63" s="5" t="s">
        <v>58</v>
      </c>
      <c r="D63" s="27">
        <v>0</v>
      </c>
      <c r="E63" s="20">
        <v>0</v>
      </c>
      <c r="F63" s="20">
        <f>D63-E63</f>
        <v>0</v>
      </c>
    </row>
    <row r="64" spans="3:6" ht="12.75">
      <c r="C64" s="5" t="s">
        <v>59</v>
      </c>
      <c r="D64" s="27">
        <f>Sheet4!B28</f>
        <v>1125</v>
      </c>
      <c r="E64" s="20">
        <v>4800</v>
      </c>
      <c r="F64" s="20">
        <f>D64-E64</f>
        <v>-3675</v>
      </c>
    </row>
    <row r="65" spans="3:6" ht="12.75">
      <c r="C65" s="5" t="s">
        <v>60</v>
      </c>
      <c r="D65" s="27">
        <f>Sheet4!B29</f>
        <v>300</v>
      </c>
      <c r="E65" s="20">
        <v>300</v>
      </c>
      <c r="F65" s="20">
        <f>D65-E65</f>
        <v>0</v>
      </c>
    </row>
    <row r="66" spans="3:6" ht="12.75">
      <c r="C66" s="5" t="s">
        <v>61</v>
      </c>
      <c r="D66" s="27">
        <v>200</v>
      </c>
      <c r="E66" s="20">
        <v>500</v>
      </c>
      <c r="F66" s="20">
        <f>D66-E66</f>
        <v>-300</v>
      </c>
    </row>
    <row r="67" spans="3:5" ht="12.75">
      <c r="C67" s="5" t="s">
        <v>62</v>
      </c>
      <c r="D67" s="27"/>
      <c r="E67" s="20">
        <v>750</v>
      </c>
    </row>
    <row r="68" spans="1:4" ht="12.75">
      <c r="A68" s="5">
        <v>401</v>
      </c>
      <c r="B68" s="26" t="s">
        <v>63</v>
      </c>
      <c r="D68" s="27"/>
    </row>
    <row r="69" spans="3:6" ht="12.75">
      <c r="C69" s="5" t="s">
        <v>64</v>
      </c>
      <c r="D69" s="27">
        <f>Sheet4!B31</f>
        <v>300</v>
      </c>
      <c r="E69" s="20">
        <v>1200</v>
      </c>
      <c r="F69" s="20">
        <f>D69-E69</f>
        <v>-900</v>
      </c>
    </row>
    <row r="70" spans="3:6" ht="12.75">
      <c r="C70" s="5" t="s">
        <v>65</v>
      </c>
      <c r="D70" s="27">
        <f>Sheet4!B32</f>
        <v>50</v>
      </c>
      <c r="E70" s="20">
        <v>50</v>
      </c>
      <c r="F70" s="20">
        <f>D70-E70</f>
        <v>0</v>
      </c>
    </row>
    <row r="71" spans="1:4" ht="12.75">
      <c r="A71" s="5">
        <v>402</v>
      </c>
      <c r="B71" s="26" t="s">
        <v>66</v>
      </c>
      <c r="D71" s="27"/>
    </row>
    <row r="72" spans="3:6" ht="12.75">
      <c r="C72" s="5" t="s">
        <v>66</v>
      </c>
      <c r="D72" s="27">
        <v>0</v>
      </c>
      <c r="E72" s="20">
        <v>2700</v>
      </c>
      <c r="F72" s="28">
        <f>D72-E72</f>
        <v>-2700</v>
      </c>
    </row>
    <row r="73" spans="4:6" ht="12.75" hidden="1">
      <c r="D73" s="14"/>
      <c r="E73" s="15" t="s">
        <v>494</v>
      </c>
      <c r="F73" s="15"/>
    </row>
    <row r="74" spans="4:6" ht="12.75" hidden="1">
      <c r="D74" s="17"/>
      <c r="E74" s="18" t="s">
        <v>3</v>
      </c>
      <c r="F74" s="18" t="s">
        <v>4</v>
      </c>
    </row>
    <row r="75" spans="1:6" ht="12.75">
      <c r="A75" s="5">
        <v>403</v>
      </c>
      <c r="B75" s="26" t="s">
        <v>67</v>
      </c>
      <c r="D75" s="27"/>
      <c r="F75" s="28"/>
    </row>
    <row r="76" spans="3:6" ht="12.75">
      <c r="C76" s="5" t="s">
        <v>68</v>
      </c>
      <c r="D76" s="27">
        <f>Sheet4!B33</f>
        <v>750</v>
      </c>
      <c r="E76" s="20">
        <v>3000</v>
      </c>
      <c r="F76" s="20">
        <f>D76-E76</f>
        <v>-2250</v>
      </c>
    </row>
    <row r="77" spans="3:5" ht="12.75">
      <c r="C77" s="5" t="s">
        <v>69</v>
      </c>
      <c r="D77" s="27"/>
      <c r="E77" s="20">
        <v>500</v>
      </c>
    </row>
    <row r="78" spans="3:6" ht="12.75">
      <c r="C78" s="5" t="s">
        <v>70</v>
      </c>
      <c r="D78" s="27">
        <v>0</v>
      </c>
      <c r="E78" s="20">
        <v>300</v>
      </c>
      <c r="F78" s="28">
        <f>D78-E78</f>
        <v>-300</v>
      </c>
    </row>
    <row r="79" spans="1:6" ht="12.75">
      <c r="A79" s="5">
        <v>404</v>
      </c>
      <c r="B79" s="26" t="s">
        <v>71</v>
      </c>
      <c r="D79" s="27"/>
      <c r="F79" s="28"/>
    </row>
    <row r="80" spans="3:6" ht="12.75">
      <c r="C80" s="5" t="s">
        <v>72</v>
      </c>
      <c r="D80" s="27">
        <f>Sheet4!B34</f>
        <v>323</v>
      </c>
      <c r="E80" s="20">
        <v>5000</v>
      </c>
      <c r="F80" s="20">
        <f>D80-E80</f>
        <v>-4677</v>
      </c>
    </row>
    <row r="81" spans="3:6" ht="12.75">
      <c r="C81" s="5" t="s">
        <v>73</v>
      </c>
      <c r="D81" s="27"/>
      <c r="E81" s="20">
        <v>250</v>
      </c>
      <c r="F81" s="20">
        <f>D81-E81</f>
        <v>-250</v>
      </c>
    </row>
    <row r="82" spans="1:4" ht="12.75">
      <c r="A82" s="5">
        <v>405</v>
      </c>
      <c r="B82" s="26" t="s">
        <v>74</v>
      </c>
      <c r="D82" s="27"/>
    </row>
    <row r="83" spans="3:6" ht="12.75">
      <c r="C83" s="5" t="s">
        <v>75</v>
      </c>
      <c r="D83" s="27">
        <f>Sheet4!B35</f>
        <v>1776</v>
      </c>
      <c r="E83" s="20">
        <v>7100</v>
      </c>
      <c r="F83" s="20">
        <f aca="true" t="shared" si="1" ref="F83:F90">D83-E83</f>
        <v>-5324</v>
      </c>
    </row>
    <row r="84" spans="3:6" ht="12.75" hidden="1">
      <c r="C84" s="5" t="s">
        <v>76</v>
      </c>
      <c r="D84" s="27"/>
      <c r="E84" s="20">
        <v>0</v>
      </c>
      <c r="F84" s="20">
        <f t="shared" si="1"/>
        <v>0</v>
      </c>
    </row>
    <row r="85" spans="3:6" ht="12.75">
      <c r="C85" s="5" t="s">
        <v>77</v>
      </c>
      <c r="D85" s="27">
        <f>Sheet4!B37</f>
        <v>507.06</v>
      </c>
      <c r="E85" s="20">
        <v>1100</v>
      </c>
      <c r="F85" s="20">
        <f t="shared" si="1"/>
        <v>-592.94</v>
      </c>
    </row>
    <row r="86" spans="3:6" ht="12.75">
      <c r="C86" s="5" t="s">
        <v>78</v>
      </c>
      <c r="D86" s="27">
        <f>Sheet4!B36</f>
        <v>77.61</v>
      </c>
      <c r="E86" s="20">
        <v>400</v>
      </c>
      <c r="F86" s="20">
        <f t="shared" si="1"/>
        <v>-322.39</v>
      </c>
    </row>
    <row r="87" spans="3:6" ht="12.75">
      <c r="C87" s="5" t="s">
        <v>79</v>
      </c>
      <c r="D87" s="27">
        <v>0</v>
      </c>
      <c r="E87" s="20">
        <v>100</v>
      </c>
      <c r="F87" s="20">
        <f t="shared" si="1"/>
        <v>-100</v>
      </c>
    </row>
    <row r="88" spans="3:6" ht="12.75">
      <c r="C88" s="5" t="s">
        <v>80</v>
      </c>
      <c r="D88" s="27">
        <f>Sheet4!B38</f>
        <v>130.87</v>
      </c>
      <c r="E88" s="20">
        <v>200</v>
      </c>
      <c r="F88" s="20">
        <f t="shared" si="1"/>
        <v>-69.13</v>
      </c>
    </row>
    <row r="89" spans="3:6" ht="12.75">
      <c r="C89" s="5" t="s">
        <v>81</v>
      </c>
      <c r="D89" s="27">
        <f>Sheet4!B39</f>
        <v>177.8</v>
      </c>
      <c r="E89" s="20">
        <v>1000</v>
      </c>
      <c r="F89" s="20">
        <f t="shared" si="1"/>
        <v>-822.2</v>
      </c>
    </row>
    <row r="90" spans="3:6" ht="12.75">
      <c r="C90" s="5" t="s">
        <v>82</v>
      </c>
      <c r="D90" s="27">
        <v>0</v>
      </c>
      <c r="E90" s="20">
        <v>435</v>
      </c>
      <c r="F90" s="20">
        <f t="shared" si="1"/>
        <v>-435</v>
      </c>
    </row>
    <row r="91" spans="1:4" ht="12.75">
      <c r="A91" s="5">
        <v>408</v>
      </c>
      <c r="B91" s="11" t="s">
        <v>83</v>
      </c>
      <c r="D91" s="27"/>
    </row>
    <row r="92" spans="2:6" ht="12.75">
      <c r="B92" s="5"/>
      <c r="C92" s="5" t="s">
        <v>84</v>
      </c>
      <c r="D92" s="27">
        <v>0</v>
      </c>
      <c r="E92" s="20">
        <v>2000</v>
      </c>
      <c r="F92" s="28">
        <f>D92-E92</f>
        <v>-2000</v>
      </c>
    </row>
    <row r="93" spans="2:6" ht="12.75">
      <c r="B93" s="5"/>
      <c r="C93" s="5" t="s">
        <v>85</v>
      </c>
      <c r="D93" s="27">
        <v>0</v>
      </c>
      <c r="E93" s="20">
        <v>4000</v>
      </c>
      <c r="F93" s="28">
        <f>D93-E93</f>
        <v>-4000</v>
      </c>
    </row>
    <row r="94" spans="2:6" ht="12.75">
      <c r="B94" s="5"/>
      <c r="C94" s="5" t="s">
        <v>86</v>
      </c>
      <c r="D94" s="27"/>
      <c r="E94" s="20">
        <v>500</v>
      </c>
      <c r="F94" s="28">
        <f>D94-E94</f>
        <v>-500</v>
      </c>
    </row>
    <row r="95" spans="2:6" ht="12.75">
      <c r="B95" s="5"/>
      <c r="C95" s="5" t="s">
        <v>87</v>
      </c>
      <c r="D95" s="27">
        <v>0</v>
      </c>
      <c r="E95" s="20">
        <v>1000</v>
      </c>
      <c r="F95" s="28">
        <f>D95-E95</f>
        <v>-1000</v>
      </c>
    </row>
    <row r="96" spans="1:6" ht="12.75">
      <c r="A96" s="5">
        <v>409</v>
      </c>
      <c r="B96" s="11" t="s">
        <v>88</v>
      </c>
      <c r="D96" s="27"/>
      <c r="F96" s="28"/>
    </row>
    <row r="97" spans="3:6" ht="12.75">
      <c r="C97" s="5" t="s">
        <v>89</v>
      </c>
      <c r="D97" s="27">
        <f>Sheet4!B40</f>
        <v>62.36</v>
      </c>
      <c r="E97" s="20">
        <v>756</v>
      </c>
      <c r="F97" s="20">
        <f aca="true" t="shared" si="2" ref="F97:F104">D97-E97</f>
        <v>-693.64</v>
      </c>
    </row>
    <row r="98" spans="3:6" ht="12.75">
      <c r="C98" s="5" t="s">
        <v>90</v>
      </c>
      <c r="D98" s="27">
        <f>Sheet4!B41</f>
        <v>99.9</v>
      </c>
      <c r="E98" s="20">
        <v>600</v>
      </c>
      <c r="F98" s="20">
        <f t="shared" si="2"/>
        <v>-500.1</v>
      </c>
    </row>
    <row r="99" spans="3:6" ht="12.75">
      <c r="C99" s="5" t="s">
        <v>91</v>
      </c>
      <c r="D99" s="27">
        <f>Sheet4!B42</f>
        <v>206.26</v>
      </c>
      <c r="E99" s="20">
        <v>600</v>
      </c>
      <c r="F99" s="20">
        <f t="shared" si="2"/>
        <v>-393.74</v>
      </c>
    </row>
    <row r="100" spans="3:6" ht="12.75">
      <c r="C100" s="5" t="s">
        <v>92</v>
      </c>
      <c r="D100" s="27">
        <f>Sheet4!B43</f>
        <v>436.83</v>
      </c>
      <c r="E100" s="20">
        <v>1000</v>
      </c>
      <c r="F100" s="20">
        <f t="shared" si="2"/>
        <v>-563.1700000000001</v>
      </c>
    </row>
    <row r="101" spans="3:6" ht="12.75">
      <c r="C101" s="5" t="s">
        <v>93</v>
      </c>
      <c r="D101" s="27">
        <v>0</v>
      </c>
      <c r="E101" s="20">
        <v>1000</v>
      </c>
      <c r="F101" s="20">
        <f t="shared" si="2"/>
        <v>-1000</v>
      </c>
    </row>
    <row r="102" spans="3:6" ht="12.75">
      <c r="C102" s="5" t="s">
        <v>94</v>
      </c>
      <c r="D102" s="27"/>
      <c r="E102" s="20">
        <v>100</v>
      </c>
      <c r="F102" s="20">
        <f t="shared" si="2"/>
        <v>-100</v>
      </c>
    </row>
    <row r="103" spans="3:6" ht="12.75">
      <c r="C103" s="5" t="s">
        <v>95</v>
      </c>
      <c r="D103" s="27"/>
      <c r="E103" s="20">
        <v>1500</v>
      </c>
      <c r="F103" s="20">
        <f t="shared" si="2"/>
        <v>-1500</v>
      </c>
    </row>
    <row r="104" spans="3:6" ht="12.75">
      <c r="C104" s="5" t="s">
        <v>96</v>
      </c>
      <c r="D104" s="27">
        <v>0</v>
      </c>
      <c r="E104" s="20">
        <v>300</v>
      </c>
      <c r="F104" s="20">
        <f t="shared" si="2"/>
        <v>-300</v>
      </c>
    </row>
    <row r="105" spans="1:4" ht="12.75">
      <c r="A105" s="5">
        <v>411</v>
      </c>
      <c r="B105" s="26" t="s">
        <v>97</v>
      </c>
      <c r="D105" s="27"/>
    </row>
    <row r="106" spans="3:6" ht="12.75">
      <c r="C106" s="5" t="s">
        <v>98</v>
      </c>
      <c r="D106" s="27">
        <f>Sheet4!B56</f>
        <v>196.88</v>
      </c>
      <c r="E106" s="20">
        <v>1181.28</v>
      </c>
      <c r="F106" s="20">
        <f>D106-E106</f>
        <v>-984.4</v>
      </c>
    </row>
    <row r="107" spans="3:8" ht="12.75">
      <c r="C107" s="5" t="s">
        <v>99</v>
      </c>
      <c r="D107" s="27">
        <f>Sheet4!B55</f>
        <v>2302</v>
      </c>
      <c r="E107" s="20">
        <v>9204</v>
      </c>
      <c r="F107" s="20">
        <f>D107-E107</f>
        <v>-6902</v>
      </c>
      <c r="H107" s="20"/>
    </row>
    <row r="108" spans="3:8" ht="12.75">
      <c r="C108" s="202" t="s">
        <v>530</v>
      </c>
      <c r="D108" s="27"/>
      <c r="E108" s="20">
        <v>2500</v>
      </c>
      <c r="F108" s="20">
        <f>D108-E108</f>
        <v>-2500</v>
      </c>
      <c r="H108" s="20"/>
    </row>
    <row r="109" spans="3:6" ht="12.75">
      <c r="C109" s="5" t="s">
        <v>100</v>
      </c>
      <c r="D109" s="27">
        <v>0</v>
      </c>
      <c r="E109" s="20">
        <v>6150</v>
      </c>
      <c r="F109" s="20">
        <f>D109-E109</f>
        <v>-6150</v>
      </c>
    </row>
    <row r="110" spans="3:6" ht="12.75">
      <c r="C110" s="5" t="s">
        <v>101</v>
      </c>
      <c r="D110" s="27">
        <v>0</v>
      </c>
      <c r="E110" s="20">
        <v>2735</v>
      </c>
      <c r="F110" s="20">
        <f>D110-E110</f>
        <v>-2735</v>
      </c>
    </row>
    <row r="111" spans="1:6" ht="12.75">
      <c r="A111" s="29" t="s">
        <v>102</v>
      </c>
      <c r="B111" s="26" t="s">
        <v>103</v>
      </c>
      <c r="D111" s="27"/>
      <c r="F111" s="28"/>
    </row>
    <row r="112" spans="3:6" ht="12.75">
      <c r="C112" s="5" t="s">
        <v>104</v>
      </c>
      <c r="D112" s="27">
        <f>Sheet4!B44</f>
        <v>600.47</v>
      </c>
      <c r="E112" s="20">
        <v>2000</v>
      </c>
      <c r="F112" s="20">
        <f aca="true" t="shared" si="3" ref="F112:F117">D112-E112</f>
        <v>-1399.53</v>
      </c>
    </row>
    <row r="113" spans="3:6" ht="12.75">
      <c r="C113" s="5" t="s">
        <v>105</v>
      </c>
      <c r="D113" s="27">
        <v>0</v>
      </c>
      <c r="E113" s="20">
        <v>250</v>
      </c>
      <c r="F113" s="28">
        <f t="shared" si="3"/>
        <v>-250</v>
      </c>
    </row>
    <row r="114" spans="3:6" ht="12.75" hidden="1">
      <c r="C114" s="5" t="s">
        <v>106</v>
      </c>
      <c r="D114" s="27"/>
      <c r="E114" s="20">
        <v>0</v>
      </c>
      <c r="F114" s="20">
        <f t="shared" si="3"/>
        <v>0</v>
      </c>
    </row>
    <row r="115" spans="3:6" ht="12.75">
      <c r="C115" s="5" t="s">
        <v>107</v>
      </c>
      <c r="D115" s="27">
        <v>0</v>
      </c>
      <c r="E115" s="20">
        <v>1000</v>
      </c>
      <c r="F115" s="20">
        <f t="shared" si="3"/>
        <v>-1000</v>
      </c>
    </row>
    <row r="116" spans="3:6" ht="12.75">
      <c r="C116" s="5" t="s">
        <v>58</v>
      </c>
      <c r="D116" s="27">
        <f>Sheet4!B30</f>
        <v>988</v>
      </c>
      <c r="E116" s="20">
        <v>2000</v>
      </c>
      <c r="F116" s="28">
        <f t="shared" si="3"/>
        <v>-1012</v>
      </c>
    </row>
    <row r="117" spans="3:6" ht="12.75">
      <c r="C117" s="5" t="s">
        <v>108</v>
      </c>
      <c r="D117" s="27">
        <v>0</v>
      </c>
      <c r="E117" s="20">
        <v>250</v>
      </c>
      <c r="F117" s="28">
        <f t="shared" si="3"/>
        <v>-250</v>
      </c>
    </row>
    <row r="118" spans="4:6" ht="12.75">
      <c r="D118" s="27"/>
      <c r="F118" s="28"/>
    </row>
    <row r="119" spans="4:6" ht="12.75">
      <c r="D119" s="27"/>
      <c r="F119" s="28"/>
    </row>
    <row r="120" spans="4:6" ht="12.75">
      <c r="D120" s="27"/>
      <c r="F120" s="28"/>
    </row>
    <row r="121" spans="4:6" ht="12.75">
      <c r="D121" s="27"/>
      <c r="F121" s="28"/>
    </row>
    <row r="122" spans="4:6" ht="12.75">
      <c r="D122" s="27"/>
      <c r="F122" s="28"/>
    </row>
    <row r="123" spans="4:6" ht="12.75">
      <c r="D123" s="14"/>
      <c r="E123" s="15" t="str">
        <f>E73</f>
        <v>2017</v>
      </c>
      <c r="F123" s="15"/>
    </row>
    <row r="124" spans="4:6" ht="12.75">
      <c r="D124" s="17" t="str">
        <f>D8</f>
        <v>February </v>
      </c>
      <c r="E124" s="18" t="s">
        <v>3</v>
      </c>
      <c r="F124" s="18" t="s">
        <v>4</v>
      </c>
    </row>
    <row r="125" spans="1:6" ht="12.75">
      <c r="A125" s="5">
        <v>426</v>
      </c>
      <c r="B125" s="26" t="s">
        <v>109</v>
      </c>
      <c r="D125" s="27"/>
      <c r="F125" s="28"/>
    </row>
    <row r="126" spans="3:6" ht="12.75">
      <c r="C126" s="5" t="s">
        <v>110</v>
      </c>
      <c r="D126" s="27">
        <f>Sheet4!B57</f>
        <v>7449.04</v>
      </c>
      <c r="E126" s="20">
        <v>44694.24</v>
      </c>
      <c r="F126" s="20">
        <f>D126-E126</f>
        <v>-37245.2</v>
      </c>
    </row>
    <row r="127" spans="3:6" ht="12.75">
      <c r="C127" s="5" t="s">
        <v>111</v>
      </c>
      <c r="D127" s="27">
        <v>0</v>
      </c>
      <c r="E127" s="20">
        <v>5000</v>
      </c>
      <c r="F127" s="20">
        <f>D127-E127</f>
        <v>-5000</v>
      </c>
    </row>
    <row r="128" spans="3:6" ht="12.75" hidden="1">
      <c r="C128" s="5" t="s">
        <v>112</v>
      </c>
      <c r="D128" s="27"/>
      <c r="E128" s="20">
        <v>0</v>
      </c>
      <c r="F128" s="20">
        <f>D128-E128</f>
        <v>0</v>
      </c>
    </row>
    <row r="129" spans="1:4" ht="15" customHeight="1" hidden="1">
      <c r="A129" s="5">
        <v>430</v>
      </c>
      <c r="B129" s="26" t="s">
        <v>114</v>
      </c>
      <c r="D129" s="27"/>
    </row>
    <row r="130" spans="2:6" ht="15" customHeight="1">
      <c r="B130" s="26"/>
      <c r="C130" s="5" t="s">
        <v>115</v>
      </c>
      <c r="D130" s="27"/>
      <c r="E130" s="20">
        <v>865</v>
      </c>
      <c r="F130" s="20">
        <f>D130-E130</f>
        <v>-865</v>
      </c>
    </row>
    <row r="131" spans="2:4" ht="15" customHeight="1">
      <c r="B131" s="26"/>
      <c r="D131" s="27"/>
    </row>
    <row r="132" spans="1:4" ht="15" customHeight="1">
      <c r="A132" s="5">
        <v>430</v>
      </c>
      <c r="B132" s="26" t="s">
        <v>114</v>
      </c>
      <c r="D132" s="27"/>
    </row>
    <row r="133" spans="3:6" ht="12.75">
      <c r="C133" s="5" t="s">
        <v>329</v>
      </c>
      <c r="D133" s="27">
        <f>Sheet4!B45</f>
        <v>607.5</v>
      </c>
      <c r="E133" s="20">
        <v>17000</v>
      </c>
      <c r="F133" s="20">
        <f aca="true" t="shared" si="4" ref="F133:F142">D133-E133</f>
        <v>-16392.5</v>
      </c>
    </row>
    <row r="134" spans="3:6" ht="12.75" hidden="1">
      <c r="C134" s="5" t="s">
        <v>330</v>
      </c>
      <c r="D134" s="27"/>
      <c r="E134" s="20">
        <v>0</v>
      </c>
      <c r="F134" s="20">
        <f t="shared" si="4"/>
        <v>0</v>
      </c>
    </row>
    <row r="135" spans="3:6" ht="12.75">
      <c r="C135" s="5" t="s">
        <v>330</v>
      </c>
      <c r="D135" s="27">
        <f>Sheet4!B47</f>
        <v>319.42</v>
      </c>
      <c r="E135" s="20">
        <v>1000</v>
      </c>
      <c r="F135" s="20">
        <f t="shared" si="4"/>
        <v>-680.5799999999999</v>
      </c>
    </row>
    <row r="136" spans="3:6" ht="12.75">
      <c r="C136" s="5" t="s">
        <v>519</v>
      </c>
      <c r="D136" s="27">
        <v>0</v>
      </c>
      <c r="E136" s="20">
        <v>1000</v>
      </c>
      <c r="F136" s="20">
        <f t="shared" si="4"/>
        <v>-1000</v>
      </c>
    </row>
    <row r="137" spans="3:6" ht="12.75">
      <c r="C137" s="5" t="s">
        <v>333</v>
      </c>
      <c r="D137" s="27">
        <f>Sheet4!B46</f>
        <v>213.63</v>
      </c>
      <c r="E137" s="20">
        <v>2000</v>
      </c>
      <c r="F137" s="28">
        <f t="shared" si="4"/>
        <v>-1786.37</v>
      </c>
    </row>
    <row r="138" spans="3:6" ht="12.75" hidden="1">
      <c r="C138" s="5" t="s">
        <v>116</v>
      </c>
      <c r="D138" s="27"/>
      <c r="E138" s="20">
        <v>0</v>
      </c>
      <c r="F138" s="20">
        <f t="shared" si="4"/>
        <v>0</v>
      </c>
    </row>
    <row r="139" spans="3:6" ht="12.75">
      <c r="C139" s="5" t="s">
        <v>335</v>
      </c>
      <c r="D139" s="27">
        <v>0</v>
      </c>
      <c r="E139" s="20">
        <v>4000</v>
      </c>
      <c r="F139" s="20">
        <f t="shared" si="4"/>
        <v>-4000</v>
      </c>
    </row>
    <row r="140" spans="3:6" ht="12.75">
      <c r="C140" s="5" t="s">
        <v>336</v>
      </c>
      <c r="D140" s="27">
        <f>Sheet4!B48</f>
        <v>1328.81</v>
      </c>
      <c r="E140" s="20">
        <v>3000</v>
      </c>
      <c r="F140" s="20">
        <f t="shared" si="4"/>
        <v>-1671.19</v>
      </c>
    </row>
    <row r="141" spans="3:6" ht="12.75" hidden="1">
      <c r="C141" s="5" t="s">
        <v>337</v>
      </c>
      <c r="D141" s="27"/>
      <c r="E141" s="20">
        <v>0</v>
      </c>
      <c r="F141" s="20">
        <f t="shared" si="4"/>
        <v>0</v>
      </c>
    </row>
    <row r="142" spans="3:6" ht="12.75">
      <c r="C142" s="5" t="s">
        <v>520</v>
      </c>
      <c r="D142" s="27">
        <v>0</v>
      </c>
      <c r="E142" s="20">
        <v>1500</v>
      </c>
      <c r="F142" s="20">
        <f t="shared" si="4"/>
        <v>-1500</v>
      </c>
    </row>
    <row r="143" spans="1:4" ht="12.75">
      <c r="A143" s="5">
        <v>434</v>
      </c>
      <c r="B143" s="26" t="s">
        <v>117</v>
      </c>
      <c r="D143" s="27"/>
    </row>
    <row r="144" spans="3:6" ht="12.75">
      <c r="C144" s="5" t="s">
        <v>118</v>
      </c>
      <c r="D144" s="27">
        <f>Sheet4!B49</f>
        <v>1700.93</v>
      </c>
      <c r="E144" s="20">
        <v>10428</v>
      </c>
      <c r="F144" s="20">
        <f>D144-E144</f>
        <v>-8727.07</v>
      </c>
    </row>
    <row r="145" spans="1:4" ht="12.75">
      <c r="A145" s="5">
        <v>442</v>
      </c>
      <c r="B145" s="26" t="s">
        <v>119</v>
      </c>
      <c r="D145" s="27"/>
    </row>
    <row r="146" spans="2:6" ht="12.75" hidden="1">
      <c r="B146" s="13">
        <v>411.05</v>
      </c>
      <c r="C146" s="5" t="s">
        <v>120</v>
      </c>
      <c r="D146" s="27"/>
      <c r="E146" s="20">
        <v>0</v>
      </c>
      <c r="F146" s="20">
        <f>D146-E146</f>
        <v>0</v>
      </c>
    </row>
    <row r="147" spans="3:6" ht="12.75">
      <c r="C147" s="5" t="s">
        <v>121</v>
      </c>
      <c r="D147" s="27">
        <f>Sheet4!B51</f>
        <v>12209.38</v>
      </c>
      <c r="E147" s="20">
        <v>54686.84</v>
      </c>
      <c r="F147" s="20">
        <f>D147-E147</f>
        <v>-42477.46</v>
      </c>
    </row>
    <row r="148" spans="3:6" ht="12.75">
      <c r="C148" s="5" t="s">
        <v>122</v>
      </c>
      <c r="D148" s="27">
        <f>Sheet4!B52</f>
        <v>1462.33</v>
      </c>
      <c r="E148" s="20">
        <v>0</v>
      </c>
      <c r="F148" s="20">
        <f>D148-E148</f>
        <v>1462.33</v>
      </c>
    </row>
    <row r="149" spans="1:4" ht="12.75">
      <c r="A149" s="5">
        <v>417</v>
      </c>
      <c r="B149" s="26" t="s">
        <v>123</v>
      </c>
      <c r="D149" s="27"/>
    </row>
    <row r="150" spans="3:6" ht="12.75">
      <c r="C150" s="5" t="s">
        <v>351</v>
      </c>
      <c r="D150" s="27">
        <v>0</v>
      </c>
      <c r="E150" s="20">
        <v>3600</v>
      </c>
      <c r="F150" s="28">
        <f>D150-E150</f>
        <v>-3600</v>
      </c>
    </row>
    <row r="151" spans="3:6" ht="12.75">
      <c r="C151" s="5" t="s">
        <v>352</v>
      </c>
      <c r="D151" s="27">
        <v>0</v>
      </c>
      <c r="E151" s="20">
        <v>2000</v>
      </c>
      <c r="F151" s="20">
        <f>D151-E151</f>
        <v>-2000</v>
      </c>
    </row>
    <row r="152" spans="3:6" ht="12.75">
      <c r="C152" s="5" t="s">
        <v>353</v>
      </c>
      <c r="D152" s="27">
        <f>Sheet4!B54</f>
        <v>346</v>
      </c>
      <c r="E152" s="20">
        <v>3300</v>
      </c>
      <c r="F152" s="20">
        <f>D152-E152</f>
        <v>-2954</v>
      </c>
    </row>
    <row r="153" spans="1:4" ht="9.75" customHeight="1">
      <c r="A153" s="5">
        <v>429</v>
      </c>
      <c r="B153" s="26" t="s">
        <v>124</v>
      </c>
      <c r="D153" s="27"/>
    </row>
    <row r="154" spans="3:6" ht="12.75">
      <c r="C154" s="5" t="s">
        <v>125</v>
      </c>
      <c r="D154" s="27">
        <v>0</v>
      </c>
      <c r="E154" s="20">
        <v>2000</v>
      </c>
      <c r="F154" s="20">
        <f>D154-E154</f>
        <v>-2000</v>
      </c>
    </row>
    <row r="155" spans="2:6" ht="12.75" hidden="1">
      <c r="B155" s="13">
        <v>429.1</v>
      </c>
      <c r="C155" s="5" t="s">
        <v>126</v>
      </c>
      <c r="D155" s="27"/>
      <c r="E155" s="20">
        <v>0</v>
      </c>
      <c r="F155" s="20">
        <f>D155-E155</f>
        <v>0</v>
      </c>
    </row>
    <row r="156" spans="1:4" ht="12.75">
      <c r="A156">
        <v>450</v>
      </c>
      <c r="B156" s="26" t="s">
        <v>127</v>
      </c>
      <c r="D156" s="27"/>
    </row>
    <row r="157" spans="1:6" ht="12.75">
      <c r="A157"/>
      <c r="B157" s="26"/>
      <c r="C157" s="5" t="s">
        <v>128</v>
      </c>
      <c r="D157" s="27"/>
      <c r="E157" s="20">
        <v>100</v>
      </c>
      <c r="F157" s="20">
        <f>D157-E157</f>
        <v>-100</v>
      </c>
    </row>
    <row r="158" spans="1:6" ht="12.75">
      <c r="A158"/>
      <c r="B158" s="26"/>
      <c r="C158" s="5" t="s">
        <v>129</v>
      </c>
      <c r="D158" s="27"/>
      <c r="E158" s="20">
        <v>500</v>
      </c>
      <c r="F158" s="20">
        <f>D158-E158</f>
        <v>-500</v>
      </c>
    </row>
    <row r="159" spans="1:4" ht="12.75">
      <c r="A159">
        <v>453</v>
      </c>
      <c r="B159" s="26" t="s">
        <v>130</v>
      </c>
      <c r="D159" s="27"/>
    </row>
    <row r="160" spans="3:6" ht="12.75">
      <c r="C160" s="5" t="s">
        <v>345</v>
      </c>
      <c r="D160" s="27">
        <v>0</v>
      </c>
      <c r="E160" s="20">
        <v>100</v>
      </c>
      <c r="F160" s="20">
        <f>D160-E160</f>
        <v>-100</v>
      </c>
    </row>
    <row r="161" spans="3:6" ht="12.75">
      <c r="C161" s="5" t="s">
        <v>346</v>
      </c>
      <c r="D161" s="27">
        <v>0</v>
      </c>
      <c r="E161" s="20">
        <v>100</v>
      </c>
      <c r="F161" s="20">
        <f>D161-E161</f>
        <v>-100</v>
      </c>
    </row>
    <row r="162" spans="3:6" ht="12.75">
      <c r="C162" s="5" t="s">
        <v>347</v>
      </c>
      <c r="D162" s="27">
        <v>0</v>
      </c>
      <c r="E162" s="20">
        <v>100</v>
      </c>
      <c r="F162" s="20">
        <f>D162-E162</f>
        <v>-100</v>
      </c>
    </row>
    <row r="163" spans="3:6" ht="12.75">
      <c r="C163" s="5" t="s">
        <v>523</v>
      </c>
      <c r="D163" s="27">
        <v>0</v>
      </c>
      <c r="E163" s="20">
        <v>150</v>
      </c>
      <c r="F163" s="20">
        <f>D163-E163</f>
        <v>-150</v>
      </c>
    </row>
    <row r="164" spans="3:6" ht="12.75">
      <c r="C164" s="5" t="s">
        <v>348</v>
      </c>
      <c r="D164" s="27">
        <v>0</v>
      </c>
      <c r="E164" s="20">
        <v>65</v>
      </c>
      <c r="F164" s="20">
        <f>D164-E164</f>
        <v>-65</v>
      </c>
    </row>
    <row r="165" spans="1:2" ht="12.75">
      <c r="A165" s="5">
        <v>455</v>
      </c>
      <c r="B165" s="26" t="s">
        <v>131</v>
      </c>
    </row>
    <row r="166" spans="3:6" ht="12.75">
      <c r="C166" s="5" t="s">
        <v>132</v>
      </c>
      <c r="D166" s="27">
        <f>Sheet4!B58</f>
        <v>2488.32</v>
      </c>
      <c r="E166" s="20">
        <v>22619.16</v>
      </c>
      <c r="F166" s="20">
        <f>D166-E166</f>
        <v>-20130.84</v>
      </c>
    </row>
    <row r="167" spans="1:4" ht="12.75">
      <c r="A167" s="5">
        <v>465</v>
      </c>
      <c r="B167" s="26" t="s">
        <v>50</v>
      </c>
      <c r="D167" s="27"/>
    </row>
    <row r="168" spans="3:8" ht="12.75">
      <c r="C168" s="5" t="s">
        <v>133</v>
      </c>
      <c r="D168" s="27">
        <f>Sheet4!B50-200</f>
        <v>1199.79</v>
      </c>
      <c r="E168" s="20">
        <v>350</v>
      </c>
      <c r="F168" s="20">
        <f>D168-E168</f>
        <v>849.79</v>
      </c>
      <c r="H168" s="20"/>
    </row>
    <row r="169" spans="3:6" ht="12.75">
      <c r="C169" s="5" t="s">
        <v>134</v>
      </c>
      <c r="D169" s="27">
        <v>0</v>
      </c>
      <c r="E169" s="20">
        <v>300</v>
      </c>
      <c r="F169" s="20">
        <f>D169-E169</f>
        <v>-300</v>
      </c>
    </row>
    <row r="170" spans="1:4" ht="12.75">
      <c r="A170" s="29" t="s">
        <v>135</v>
      </c>
      <c r="B170" s="26" t="s">
        <v>136</v>
      </c>
      <c r="D170" s="27"/>
    </row>
    <row r="171" spans="3:6" ht="12.75">
      <c r="C171" s="5" t="s">
        <v>137</v>
      </c>
      <c r="D171" s="27">
        <f>Sheet4!B53+Sheet4!B60</f>
        <v>348.73</v>
      </c>
      <c r="E171" s="20">
        <v>2532.15</v>
      </c>
      <c r="F171" s="20">
        <f>D171-E171</f>
        <v>-2183.42</v>
      </c>
    </row>
    <row r="172" spans="3:5" ht="12.75">
      <c r="C172" s="5" t="s">
        <v>138</v>
      </c>
      <c r="D172" s="27">
        <v>0</v>
      </c>
      <c r="E172" s="20">
        <v>50</v>
      </c>
    </row>
    <row r="173" spans="1:6" ht="12.75">
      <c r="A173" s="5">
        <v>492</v>
      </c>
      <c r="B173" s="109" t="s">
        <v>139</v>
      </c>
      <c r="D173" s="27">
        <f>D10</f>
        <v>8760.2</v>
      </c>
      <c r="E173" s="20">
        <v>8760</v>
      </c>
      <c r="F173" s="20">
        <f>D173-E173</f>
        <v>0.2000000000007276</v>
      </c>
    </row>
    <row r="174" spans="2:6" ht="12.75">
      <c r="B174" s="5"/>
      <c r="D174" s="32"/>
      <c r="E174" s="23">
        <v>0</v>
      </c>
      <c r="F174" s="23">
        <f>D174-E174</f>
        <v>0</v>
      </c>
    </row>
    <row r="176" spans="3:9" ht="12.75">
      <c r="C176" s="5" t="s">
        <v>140</v>
      </c>
      <c r="D176" s="105">
        <f>SUM(D126:D174)+SUM(D64:D117)</f>
        <v>49044.12</v>
      </c>
      <c r="E176" s="105">
        <f>SUM(E126:E174)+SUM(E64:E116)</f>
        <v>261861.66999999998</v>
      </c>
      <c r="F176" s="105">
        <f>SUM(F62:F174)</f>
        <v>-211767.55</v>
      </c>
      <c r="H176" s="20"/>
      <c r="I176" s="20"/>
    </row>
    <row r="177" ht="12.75">
      <c r="D177" s="27"/>
    </row>
    <row r="178" spans="3:9" ht="12.75">
      <c r="C178" s="5" t="s">
        <v>141</v>
      </c>
      <c r="D178" s="106">
        <f>-D55+D176</f>
        <v>2593.810000000005</v>
      </c>
      <c r="E178" s="106">
        <f>-E55+E176</f>
        <v>-0.26200000004610047</v>
      </c>
      <c r="F178" s="106">
        <f>+F55-F176</f>
        <v>-3644.0720000000438</v>
      </c>
      <c r="H178" s="20"/>
      <c r="I178" s="20"/>
    </row>
    <row r="179" ht="13.5" customHeight="1" thickTop="1"/>
    <row r="180" spans="3:4" ht="13.5" thickBot="1">
      <c r="C180" s="202" t="s">
        <v>544</v>
      </c>
      <c r="D180" s="33"/>
    </row>
    <row r="181" spans="3:4" ht="12.75">
      <c r="C181" s="5" t="s">
        <v>142</v>
      </c>
      <c r="D181" s="33"/>
    </row>
    <row r="182" spans="3:4" ht="12.75">
      <c r="C182" s="5" t="s">
        <v>143</v>
      </c>
      <c r="D182" s="33"/>
    </row>
    <row r="183" spans="1:11" ht="12.75">
      <c r="A183"/>
      <c r="B183" s="34"/>
      <c r="C183" s="35"/>
      <c r="D183" s="36"/>
      <c r="E183" s="37"/>
      <c r="F183" s="36"/>
      <c r="G183" s="35"/>
      <c r="H183" s="38"/>
      <c r="I183" s="37"/>
      <c r="J183" s="36"/>
      <c r="K183" s="39"/>
    </row>
    <row r="184" spans="1:11" ht="12.75">
      <c r="A184"/>
      <c r="B184" s="5"/>
      <c r="C184" s="35"/>
      <c r="D184" s="36"/>
      <c r="E184" s="37"/>
      <c r="F184" s="36"/>
      <c r="G184" s="35"/>
      <c r="H184" s="38"/>
      <c r="I184" s="37"/>
      <c r="J184" s="36"/>
      <c r="K184" s="40"/>
    </row>
    <row r="185" spans="1:11" ht="12.75">
      <c r="A185"/>
      <c r="B185" s="5"/>
      <c r="C185" s="35"/>
      <c r="D185" s="36"/>
      <c r="E185" s="41"/>
      <c r="F185" s="36"/>
      <c r="G185" s="35"/>
      <c r="H185" s="38"/>
      <c r="I185" s="37"/>
      <c r="J185" s="36"/>
      <c r="K185" s="40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&amp;LTreasurer's Report -Feb 2014</oddFooter>
  </headerFooter>
  <rowBreaks count="2" manualBreakCount="2">
    <brk id="54" max="255" man="1"/>
    <brk id="1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1.7109375" style="0" bestFit="1" customWidth="1"/>
    <col min="2" max="2" width="10.00390625" style="111" bestFit="1" customWidth="1"/>
  </cols>
  <sheetData>
    <row r="1" ht="14.25">
      <c r="A1" t="s">
        <v>144</v>
      </c>
    </row>
    <row r="2" ht="14.25">
      <c r="A2" t="s">
        <v>416</v>
      </c>
    </row>
    <row r="3" ht="14.25">
      <c r="A3" t="s">
        <v>495</v>
      </c>
    </row>
    <row r="5" ht="14.25">
      <c r="B5" s="111" t="s">
        <v>147</v>
      </c>
    </row>
    <row r="6" ht="14.25">
      <c r="A6" t="s">
        <v>417</v>
      </c>
    </row>
    <row r="7" ht="14.25">
      <c r="A7" t="s">
        <v>418</v>
      </c>
    </row>
    <row r="8" ht="14.25">
      <c r="A8" t="s">
        <v>419</v>
      </c>
    </row>
    <row r="9" spans="1:2" ht="14.25">
      <c r="A9" t="s">
        <v>420</v>
      </c>
      <c r="B9" s="111">
        <v>59519.55</v>
      </c>
    </row>
    <row r="10" spans="1:2" ht="14.25">
      <c r="A10" t="s">
        <v>421</v>
      </c>
      <c r="B10" s="111">
        <v>26108.01</v>
      </c>
    </row>
    <row r="11" spans="1:2" ht="14.25">
      <c r="A11" t="s">
        <v>422</v>
      </c>
      <c r="B11" s="111">
        <v>19861.66</v>
      </c>
    </row>
    <row r="12" spans="1:2" ht="14.25">
      <c r="A12" t="s">
        <v>423</v>
      </c>
      <c r="B12" s="111">
        <v>0</v>
      </c>
    </row>
    <row r="13" spans="1:2" ht="14.25">
      <c r="A13" t="s">
        <v>424</v>
      </c>
      <c r="B13" s="111">
        <v>19861.66</v>
      </c>
    </row>
    <row r="14" spans="1:2" ht="14.25">
      <c r="A14" t="s">
        <v>425</v>
      </c>
      <c r="B14" s="111">
        <v>-0.45</v>
      </c>
    </row>
    <row r="15" spans="1:2" ht="14.25">
      <c r="A15" t="s">
        <v>426</v>
      </c>
      <c r="B15" s="111">
        <v>555.1</v>
      </c>
    </row>
    <row r="16" spans="1:2" ht="14.25">
      <c r="A16" t="s">
        <v>427</v>
      </c>
      <c r="B16" s="111">
        <v>36323.37</v>
      </c>
    </row>
    <row r="17" spans="1:2" ht="14.25">
      <c r="A17" t="s">
        <v>428</v>
      </c>
      <c r="B17" s="111">
        <v>4894.96</v>
      </c>
    </row>
    <row r="18" spans="1:2" ht="14.25">
      <c r="A18" t="s">
        <v>429</v>
      </c>
      <c r="B18" s="111">
        <v>0</v>
      </c>
    </row>
    <row r="19" spans="1:2" ht="14.25">
      <c r="A19" t="s">
        <v>430</v>
      </c>
      <c r="B19" s="111">
        <v>32023.73</v>
      </c>
    </row>
    <row r="20" spans="1:2" ht="14.25">
      <c r="A20" t="s">
        <v>431</v>
      </c>
      <c r="B20" s="111">
        <v>0</v>
      </c>
    </row>
    <row r="21" spans="1:2" ht="14.25">
      <c r="A21" t="s">
        <v>432</v>
      </c>
      <c r="B21" s="111">
        <v>179285.93000000002</v>
      </c>
    </row>
    <row r="22" ht="14.25">
      <c r="A22" t="s">
        <v>433</v>
      </c>
    </row>
    <row r="23" spans="1:2" ht="14.25">
      <c r="A23" t="s">
        <v>434</v>
      </c>
      <c r="B23" s="111">
        <v>849.55</v>
      </c>
    </row>
    <row r="24" spans="1:2" ht="14.25">
      <c r="A24" t="s">
        <v>435</v>
      </c>
      <c r="B24" s="111">
        <v>1252.05</v>
      </c>
    </row>
    <row r="25" spans="1:2" ht="14.25">
      <c r="A25" t="s">
        <v>436</v>
      </c>
      <c r="B25" s="111">
        <v>-1394.48</v>
      </c>
    </row>
    <row r="26" spans="1:2" ht="14.25">
      <c r="A26" t="s">
        <v>437</v>
      </c>
      <c r="B26" s="111">
        <v>3381.44</v>
      </c>
    </row>
    <row r="27" spans="1:2" ht="14.25">
      <c r="A27" t="s">
        <v>438</v>
      </c>
      <c r="B27" s="111">
        <v>0</v>
      </c>
    </row>
    <row r="28" spans="1:2" ht="14.25">
      <c r="A28" t="s">
        <v>439</v>
      </c>
      <c r="B28" s="111">
        <v>-126.31</v>
      </c>
    </row>
    <row r="29" spans="1:2" ht="14.25">
      <c r="A29" t="s">
        <v>440</v>
      </c>
      <c r="B29" s="111">
        <v>0</v>
      </c>
    </row>
    <row r="30" spans="1:2" ht="14.25">
      <c r="A30" t="s">
        <v>441</v>
      </c>
      <c r="B30" s="111">
        <v>23292.27</v>
      </c>
    </row>
    <row r="31" spans="1:2" ht="14.25">
      <c r="A31" t="s">
        <v>442</v>
      </c>
      <c r="B31" s="111">
        <v>-849.55</v>
      </c>
    </row>
    <row r="32" spans="1:2" ht="14.25">
      <c r="A32" t="s">
        <v>443</v>
      </c>
      <c r="B32" s="111">
        <v>26404.97</v>
      </c>
    </row>
    <row r="33" ht="14.25">
      <c r="A33" t="s">
        <v>491</v>
      </c>
    </row>
    <row r="34" spans="1:2" ht="14.25">
      <c r="A34" t="s">
        <v>444</v>
      </c>
      <c r="B34" s="111">
        <v>873.09</v>
      </c>
    </row>
    <row r="35" spans="1:2" ht="14.25">
      <c r="A35" t="s">
        <v>492</v>
      </c>
      <c r="B35" s="111">
        <v>873.09</v>
      </c>
    </row>
    <row r="36" spans="1:2" ht="14.25">
      <c r="A36" t="s">
        <v>445</v>
      </c>
      <c r="B36" s="111">
        <v>206563.99000000002</v>
      </c>
    </row>
    <row r="37" ht="14.25">
      <c r="A37" t="s">
        <v>446</v>
      </c>
    </row>
    <row r="38" spans="1:2" ht="14.25">
      <c r="A38" t="s">
        <v>447</v>
      </c>
      <c r="B38" s="111">
        <v>0</v>
      </c>
    </row>
    <row r="39" spans="1:2" ht="14.25">
      <c r="A39" t="s">
        <v>448</v>
      </c>
      <c r="B39" s="111">
        <v>0</v>
      </c>
    </row>
    <row r="40" spans="1:2" ht="14.25">
      <c r="A40" t="s">
        <v>449</v>
      </c>
      <c r="B40" s="111">
        <v>0</v>
      </c>
    </row>
    <row r="41" spans="1:2" ht="14.25">
      <c r="A41" t="s">
        <v>450</v>
      </c>
      <c r="B41" s="111">
        <v>0</v>
      </c>
    </row>
    <row r="42" spans="1:2" ht="14.25">
      <c r="A42" t="s">
        <v>451</v>
      </c>
      <c r="B42" s="111">
        <v>0</v>
      </c>
    </row>
    <row r="43" spans="1:2" ht="14.25">
      <c r="A43" t="s">
        <v>452</v>
      </c>
      <c r="B43" s="111">
        <v>0</v>
      </c>
    </row>
    <row r="44" ht="14.25">
      <c r="A44" t="s">
        <v>453</v>
      </c>
    </row>
    <row r="45" spans="1:2" ht="14.25">
      <c r="A45" t="s">
        <v>454</v>
      </c>
      <c r="B45" s="111">
        <v>0</v>
      </c>
    </row>
    <row r="46" spans="1:2" ht="14.25">
      <c r="A46" t="s">
        <v>455</v>
      </c>
      <c r="B46" s="111">
        <v>0</v>
      </c>
    </row>
    <row r="47" spans="1:2" ht="14.25">
      <c r="A47" t="s">
        <v>456</v>
      </c>
      <c r="B47" s="111">
        <v>0</v>
      </c>
    </row>
    <row r="48" spans="1:2" ht="14.25">
      <c r="A48" t="s">
        <v>457</v>
      </c>
      <c r="B48" s="111">
        <v>206563.99000000002</v>
      </c>
    </row>
    <row r="49" ht="14.25">
      <c r="A49" t="s">
        <v>458</v>
      </c>
    </row>
    <row r="50" ht="14.25">
      <c r="A50" t="s">
        <v>459</v>
      </c>
    </row>
    <row r="51" ht="14.25">
      <c r="A51" t="s">
        <v>460</v>
      </c>
    </row>
    <row r="52" ht="14.25">
      <c r="A52" t="s">
        <v>461</v>
      </c>
    </row>
    <row r="53" spans="1:2" ht="14.25">
      <c r="A53" t="s">
        <v>462</v>
      </c>
      <c r="B53" s="111">
        <v>88.28</v>
      </c>
    </row>
    <row r="54" spans="1:2" ht="14.25">
      <c r="A54" t="s">
        <v>463</v>
      </c>
      <c r="B54" s="111">
        <v>88.28</v>
      </c>
    </row>
    <row r="55" ht="14.25">
      <c r="A55" t="s">
        <v>464</v>
      </c>
    </row>
    <row r="56" spans="1:2" ht="14.25">
      <c r="A56" t="s">
        <v>465</v>
      </c>
      <c r="B56" s="111">
        <v>-106.89</v>
      </c>
    </row>
    <row r="57" spans="1:2" ht="14.25">
      <c r="A57" t="s">
        <v>466</v>
      </c>
      <c r="B57" s="111">
        <v>-84752.05</v>
      </c>
    </row>
    <row r="58" spans="1:2" ht="14.25">
      <c r="A58" t="s">
        <v>467</v>
      </c>
      <c r="B58" s="111">
        <v>1304.67</v>
      </c>
    </row>
    <row r="59" spans="1:2" ht="14.25">
      <c r="A59" t="s">
        <v>468</v>
      </c>
      <c r="B59" s="111">
        <v>35900.23</v>
      </c>
    </row>
    <row r="60" spans="1:2" ht="14.25">
      <c r="A60" t="s">
        <v>469</v>
      </c>
      <c r="B60" s="111">
        <v>17338</v>
      </c>
    </row>
    <row r="61" spans="1:2" ht="14.25">
      <c r="A61" t="s">
        <v>470</v>
      </c>
      <c r="B61" s="111">
        <v>-18.53</v>
      </c>
    </row>
    <row r="62" spans="1:2" ht="14.25">
      <c r="A62" t="s">
        <v>471</v>
      </c>
      <c r="B62" s="111">
        <v>267.84</v>
      </c>
    </row>
    <row r="63" spans="1:2" ht="14.25">
      <c r="A63" t="s">
        <v>472</v>
      </c>
      <c r="B63" s="111">
        <v>-12.29</v>
      </c>
    </row>
    <row r="64" spans="1:2" ht="14.25">
      <c r="A64" t="s">
        <v>473</v>
      </c>
      <c r="B64" s="111">
        <v>0</v>
      </c>
    </row>
    <row r="65" spans="1:2" ht="14.25">
      <c r="A65" t="s">
        <v>474</v>
      </c>
      <c r="B65" s="111">
        <v>61.21</v>
      </c>
    </row>
    <row r="66" spans="1:2" ht="14.25">
      <c r="A66" t="s">
        <v>475</v>
      </c>
      <c r="B66" s="111">
        <v>665.39</v>
      </c>
    </row>
    <row r="67" spans="1:2" ht="14.25">
      <c r="A67" t="s">
        <v>476</v>
      </c>
      <c r="B67" s="111">
        <v>500</v>
      </c>
    </row>
    <row r="68" spans="1:2" ht="14.25">
      <c r="A68" t="s">
        <v>477</v>
      </c>
      <c r="B68" s="111">
        <v>-28852.420000000002</v>
      </c>
    </row>
    <row r="69" spans="1:2" ht="14.25">
      <c r="A69" t="s">
        <v>478</v>
      </c>
      <c r="B69" s="111">
        <v>-28764.140000000003</v>
      </c>
    </row>
    <row r="70" ht="14.25">
      <c r="A70" t="s">
        <v>479</v>
      </c>
    </row>
    <row r="71" spans="1:2" ht="14.25">
      <c r="A71" t="s">
        <v>480</v>
      </c>
      <c r="B71" s="111">
        <v>0</v>
      </c>
    </row>
    <row r="72" spans="1:2" ht="14.25">
      <c r="A72" t="s">
        <v>481</v>
      </c>
      <c r="B72" s="111">
        <v>0</v>
      </c>
    </row>
    <row r="73" spans="1:2" ht="14.25">
      <c r="A73" t="s">
        <v>482</v>
      </c>
      <c r="B73" s="111">
        <v>-28764.140000000003</v>
      </c>
    </row>
    <row r="74" ht="14.25">
      <c r="A74" t="s">
        <v>483</v>
      </c>
    </row>
    <row r="75" spans="1:2" ht="14.25">
      <c r="A75" t="s">
        <v>484</v>
      </c>
      <c r="B75" s="111">
        <v>0</v>
      </c>
    </row>
    <row r="76" spans="1:2" ht="14.25">
      <c r="A76" t="s">
        <v>485</v>
      </c>
      <c r="B76" s="111">
        <v>254677.82</v>
      </c>
    </row>
    <row r="77" spans="1:2" ht="14.25">
      <c r="A77" t="s">
        <v>486</v>
      </c>
      <c r="B77" s="111">
        <v>-19349.69</v>
      </c>
    </row>
    <row r="78" spans="1:2" ht="14.25">
      <c r="A78" t="s">
        <v>487</v>
      </c>
      <c r="B78" s="111">
        <v>235328.13</v>
      </c>
    </row>
    <row r="79" spans="1:2" ht="14.25">
      <c r="A79" t="s">
        <v>488</v>
      </c>
      <c r="B79" s="111">
        <v>206563.99</v>
      </c>
    </row>
    <row r="83" ht="14.25">
      <c r="A83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6">
      <selection activeCell="C1" sqref="C1"/>
    </sheetView>
  </sheetViews>
  <sheetFormatPr defaultColWidth="9.140625" defaultRowHeight="12.75"/>
  <cols>
    <col min="1" max="1" width="51.7109375" style="0" bestFit="1" customWidth="1"/>
    <col min="2" max="2" width="8.8515625" style="111" customWidth="1"/>
  </cols>
  <sheetData>
    <row r="1" ht="14.25">
      <c r="A1" t="s">
        <v>144</v>
      </c>
    </row>
    <row r="2" ht="14.25">
      <c r="A2" t="s">
        <v>416</v>
      </c>
    </row>
    <row r="3" ht="14.25">
      <c r="A3" t="s">
        <v>549</v>
      </c>
    </row>
    <row r="5" ht="14.25">
      <c r="B5" s="111" t="s">
        <v>147</v>
      </c>
    </row>
    <row r="6" ht="14.25">
      <c r="A6" t="s">
        <v>417</v>
      </c>
    </row>
    <row r="7" ht="14.25">
      <c r="A7" t="s">
        <v>418</v>
      </c>
    </row>
    <row r="8" ht="14.25">
      <c r="A8" t="s">
        <v>419</v>
      </c>
    </row>
    <row r="9" spans="1:2" ht="14.25">
      <c r="A9" t="s">
        <v>420</v>
      </c>
      <c r="B9" s="111">
        <v>52377.53</v>
      </c>
    </row>
    <row r="10" spans="1:2" ht="14.25">
      <c r="A10" t="s">
        <v>421</v>
      </c>
      <c r="B10" s="111">
        <v>26117.16</v>
      </c>
    </row>
    <row r="11" spans="1:2" ht="14.25">
      <c r="A11" t="s">
        <v>422</v>
      </c>
      <c r="B11" s="111">
        <v>19861.66</v>
      </c>
    </row>
    <row r="12" spans="1:2" ht="14.25">
      <c r="A12" t="s">
        <v>423</v>
      </c>
      <c r="B12" s="111">
        <v>0</v>
      </c>
    </row>
    <row r="13" spans="1:2" ht="14.25">
      <c r="A13" t="s">
        <v>424</v>
      </c>
      <c r="B13" s="111">
        <v>19861.66</v>
      </c>
    </row>
    <row r="14" spans="1:2" ht="14.25">
      <c r="A14" t="s">
        <v>425</v>
      </c>
      <c r="B14" s="111">
        <v>-0.45</v>
      </c>
    </row>
    <row r="15" spans="1:2" ht="14.25">
      <c r="A15" t="s">
        <v>426</v>
      </c>
      <c r="B15" s="111">
        <v>555.29</v>
      </c>
    </row>
    <row r="16" spans="1:2" ht="14.25">
      <c r="A16" t="s">
        <v>427</v>
      </c>
      <c r="B16" s="111">
        <v>38822.92</v>
      </c>
    </row>
    <row r="17" spans="1:2" ht="14.25">
      <c r="A17" t="s">
        <v>428</v>
      </c>
      <c r="B17" s="111">
        <v>2642.93</v>
      </c>
    </row>
    <row r="18" spans="1:2" ht="14.25">
      <c r="A18" t="s">
        <v>429</v>
      </c>
      <c r="B18" s="111">
        <v>0</v>
      </c>
    </row>
    <row r="19" spans="1:2" ht="14.25">
      <c r="A19" t="s">
        <v>430</v>
      </c>
      <c r="B19" s="111">
        <v>56120.58</v>
      </c>
    </row>
    <row r="20" spans="1:2" ht="14.25">
      <c r="A20" t="s">
        <v>431</v>
      </c>
      <c r="B20" s="111">
        <v>0</v>
      </c>
    </row>
    <row r="21" spans="1:2" ht="14.25">
      <c r="A21" t="s">
        <v>432</v>
      </c>
      <c r="B21" s="111">
        <v>196497.62</v>
      </c>
    </row>
    <row r="22" ht="14.25">
      <c r="A22" t="s">
        <v>433</v>
      </c>
    </row>
    <row r="23" spans="1:2" ht="14.25">
      <c r="A23" t="s">
        <v>434</v>
      </c>
      <c r="B23" s="111">
        <v>849.55</v>
      </c>
    </row>
    <row r="24" spans="1:2" ht="14.25">
      <c r="A24" t="s">
        <v>435</v>
      </c>
      <c r="B24" s="111">
        <v>1252.05</v>
      </c>
    </row>
    <row r="25" spans="1:2" ht="14.25">
      <c r="A25" t="s">
        <v>436</v>
      </c>
      <c r="B25" s="111">
        <v>-1394.48</v>
      </c>
    </row>
    <row r="26" spans="1:2" ht="14.25">
      <c r="A26" t="s">
        <v>437</v>
      </c>
      <c r="B26" s="111">
        <v>3381.44</v>
      </c>
    </row>
    <row r="27" spans="1:2" ht="14.25">
      <c r="A27" t="s">
        <v>438</v>
      </c>
      <c r="B27" s="111">
        <v>0</v>
      </c>
    </row>
    <row r="28" spans="1:2" ht="14.25">
      <c r="A28" t="s">
        <v>439</v>
      </c>
      <c r="B28" s="111">
        <v>-126.31</v>
      </c>
    </row>
    <row r="29" spans="1:2" ht="14.25">
      <c r="A29" t="s">
        <v>440</v>
      </c>
      <c r="B29" s="111">
        <v>0</v>
      </c>
    </row>
    <row r="30" spans="1:2" ht="14.25">
      <c r="A30" t="s">
        <v>441</v>
      </c>
      <c r="B30" s="111">
        <v>23292.27</v>
      </c>
    </row>
    <row r="31" spans="1:2" ht="14.25">
      <c r="A31" t="s">
        <v>442</v>
      </c>
      <c r="B31" s="111">
        <v>-849.55</v>
      </c>
    </row>
    <row r="32" spans="1:2" ht="14.25">
      <c r="A32" t="s">
        <v>443</v>
      </c>
      <c r="B32" s="111">
        <v>26404.97</v>
      </c>
    </row>
    <row r="33" ht="14.25">
      <c r="A33" t="s">
        <v>491</v>
      </c>
    </row>
    <row r="34" spans="1:2" ht="14.25">
      <c r="A34" t="s">
        <v>444</v>
      </c>
      <c r="B34" s="111">
        <v>873.09</v>
      </c>
    </row>
    <row r="35" spans="1:2" ht="14.25">
      <c r="A35" t="s">
        <v>492</v>
      </c>
      <c r="B35" s="111">
        <v>873.09</v>
      </c>
    </row>
    <row r="36" spans="1:2" ht="14.25">
      <c r="A36" t="s">
        <v>445</v>
      </c>
      <c r="B36" s="111">
        <v>223775.68</v>
      </c>
    </row>
    <row r="37" ht="14.25">
      <c r="A37" t="s">
        <v>446</v>
      </c>
    </row>
    <row r="38" spans="1:2" ht="14.25">
      <c r="A38" t="s">
        <v>447</v>
      </c>
      <c r="B38" s="111">
        <v>0</v>
      </c>
    </row>
    <row r="39" spans="1:2" ht="14.25">
      <c r="A39" t="s">
        <v>448</v>
      </c>
      <c r="B39" s="111">
        <v>0</v>
      </c>
    </row>
    <row r="40" spans="1:2" ht="14.25">
      <c r="A40" t="s">
        <v>449</v>
      </c>
      <c r="B40" s="111">
        <v>0</v>
      </c>
    </row>
    <row r="41" spans="1:2" ht="14.25">
      <c r="A41" t="s">
        <v>450</v>
      </c>
      <c r="B41" s="111">
        <v>0</v>
      </c>
    </row>
    <row r="42" spans="1:2" ht="14.25">
      <c r="A42" t="s">
        <v>451</v>
      </c>
      <c r="B42" s="111">
        <v>0</v>
      </c>
    </row>
    <row r="43" spans="1:2" ht="14.25">
      <c r="A43" t="s">
        <v>452</v>
      </c>
      <c r="B43" s="111">
        <v>0</v>
      </c>
    </row>
    <row r="44" ht="14.25">
      <c r="A44" t="s">
        <v>453</v>
      </c>
    </row>
    <row r="45" spans="1:2" ht="14.25">
      <c r="A45" t="s">
        <v>454</v>
      </c>
      <c r="B45" s="111">
        <v>0</v>
      </c>
    </row>
    <row r="46" spans="1:2" ht="14.25">
      <c r="A46" t="s">
        <v>455</v>
      </c>
      <c r="B46" s="111">
        <v>0</v>
      </c>
    </row>
    <row r="47" spans="1:2" ht="14.25">
      <c r="A47" t="s">
        <v>456</v>
      </c>
      <c r="B47" s="111">
        <v>0</v>
      </c>
    </row>
    <row r="48" spans="1:2" ht="14.25">
      <c r="A48" t="s">
        <v>457</v>
      </c>
      <c r="B48" s="111">
        <v>223775.68</v>
      </c>
    </row>
    <row r="49" ht="14.25">
      <c r="A49" t="s">
        <v>458</v>
      </c>
    </row>
    <row r="50" ht="14.25">
      <c r="A50" t="s">
        <v>459</v>
      </c>
    </row>
    <row r="51" ht="14.25">
      <c r="A51" t="s">
        <v>460</v>
      </c>
    </row>
    <row r="52" ht="14.25">
      <c r="A52" t="s">
        <v>461</v>
      </c>
    </row>
    <row r="53" spans="1:2" ht="14.25">
      <c r="A53" t="s">
        <v>462</v>
      </c>
      <c r="B53" s="111">
        <v>88.28</v>
      </c>
    </row>
    <row r="54" spans="1:2" ht="14.25">
      <c r="A54" t="s">
        <v>463</v>
      </c>
      <c r="B54" s="111">
        <v>88.28</v>
      </c>
    </row>
    <row r="55" ht="14.25">
      <c r="A55" t="s">
        <v>464</v>
      </c>
    </row>
    <row r="56" spans="1:2" ht="14.25">
      <c r="A56" t="s">
        <v>465</v>
      </c>
      <c r="B56" s="111">
        <v>-106.89</v>
      </c>
    </row>
    <row r="57" spans="1:2" ht="14.25">
      <c r="A57" t="s">
        <v>466</v>
      </c>
      <c r="B57" s="111">
        <v>-84752.05</v>
      </c>
    </row>
    <row r="58" spans="1:2" ht="14.25">
      <c r="A58" t="s">
        <v>467</v>
      </c>
      <c r="B58" s="111">
        <v>1304.67</v>
      </c>
    </row>
    <row r="59" spans="1:2" ht="14.25">
      <c r="A59" t="s">
        <v>468</v>
      </c>
      <c r="B59" s="111">
        <v>35900.23</v>
      </c>
    </row>
    <row r="60" spans="1:2" ht="14.25">
      <c r="A60" t="s">
        <v>469</v>
      </c>
      <c r="B60" s="111">
        <v>17338</v>
      </c>
    </row>
    <row r="61" spans="1:2" ht="14.25">
      <c r="A61" t="s">
        <v>470</v>
      </c>
      <c r="B61" s="111">
        <v>-4.42</v>
      </c>
    </row>
    <row r="62" spans="1:2" ht="14.25">
      <c r="A62" t="s">
        <v>471</v>
      </c>
      <c r="B62" s="111">
        <v>312.74</v>
      </c>
    </row>
    <row r="63" spans="1:2" ht="14.25">
      <c r="A63" t="s">
        <v>472</v>
      </c>
      <c r="B63" s="111">
        <v>-11.74</v>
      </c>
    </row>
    <row r="64" spans="1:2" ht="14.25">
      <c r="A64" t="s">
        <v>473</v>
      </c>
      <c r="B64" s="111">
        <v>0</v>
      </c>
    </row>
    <row r="65" spans="1:2" ht="14.25">
      <c r="A65" t="s">
        <v>474</v>
      </c>
      <c r="B65" s="111">
        <v>70.04</v>
      </c>
    </row>
    <row r="66" spans="1:2" ht="14.25">
      <c r="A66" t="s">
        <v>475</v>
      </c>
      <c r="B66" s="111">
        <v>1052.85</v>
      </c>
    </row>
    <row r="67" spans="1:2" ht="14.25">
      <c r="A67" t="s">
        <v>476</v>
      </c>
      <c r="B67" s="111">
        <v>500</v>
      </c>
    </row>
    <row r="68" spans="1:2" ht="14.25">
      <c r="A68" t="s">
        <v>477</v>
      </c>
      <c r="B68" s="111">
        <v>-28396.57</v>
      </c>
    </row>
    <row r="69" spans="1:2" ht="14.25">
      <c r="A69" t="s">
        <v>478</v>
      </c>
      <c r="B69" s="111">
        <v>-28308.29</v>
      </c>
    </row>
    <row r="70" ht="14.25">
      <c r="A70" t="s">
        <v>479</v>
      </c>
    </row>
    <row r="71" spans="1:2" ht="14.25">
      <c r="A71" t="s">
        <v>480</v>
      </c>
      <c r="B71" s="111">
        <v>0</v>
      </c>
    </row>
    <row r="72" spans="1:2" ht="14.25">
      <c r="A72" t="s">
        <v>481</v>
      </c>
      <c r="B72" s="111">
        <v>0</v>
      </c>
    </row>
    <row r="73" spans="1:2" ht="14.25">
      <c r="A73" t="s">
        <v>482</v>
      </c>
      <c r="B73" s="111">
        <v>-28308.29</v>
      </c>
    </row>
    <row r="74" ht="14.25">
      <c r="A74" t="s">
        <v>483</v>
      </c>
    </row>
    <row r="75" spans="1:2" ht="14.25">
      <c r="A75" t="s">
        <v>484</v>
      </c>
      <c r="B75" s="111">
        <v>0</v>
      </c>
    </row>
    <row r="76" spans="1:2" ht="14.25">
      <c r="A76" t="s">
        <v>485</v>
      </c>
      <c r="B76" s="111">
        <v>254677.82</v>
      </c>
    </row>
    <row r="77" spans="1:2" ht="14.25">
      <c r="A77" t="s">
        <v>486</v>
      </c>
      <c r="B77" s="111">
        <v>-2593.85</v>
      </c>
    </row>
    <row r="78" spans="1:2" ht="14.25">
      <c r="A78" t="s">
        <v>487</v>
      </c>
      <c r="B78" s="111">
        <v>252083.97</v>
      </c>
    </row>
    <row r="79" spans="1:2" ht="14.25">
      <c r="A79" t="s">
        <v>488</v>
      </c>
      <c r="B79" s="111">
        <v>223775.68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49.421875" style="0" bestFit="1" customWidth="1"/>
    <col min="2" max="2" width="9.28125" style="113" bestFit="1" customWidth="1"/>
  </cols>
  <sheetData>
    <row r="1" ht="14.25">
      <c r="A1" t="s">
        <v>144</v>
      </c>
    </row>
    <row r="2" ht="14.25">
      <c r="A2" t="s">
        <v>146</v>
      </c>
    </row>
    <row r="3" ht="14.25">
      <c r="A3" t="s">
        <v>497</v>
      </c>
    </row>
    <row r="5" ht="14.25">
      <c r="B5" s="113" t="s">
        <v>147</v>
      </c>
    </row>
    <row r="6" ht="14.25">
      <c r="A6" t="s">
        <v>148</v>
      </c>
    </row>
    <row r="7" spans="1:2" ht="14.25">
      <c r="A7" t="s">
        <v>365</v>
      </c>
      <c r="B7" s="113">
        <v>2116.4</v>
      </c>
    </row>
    <row r="8" spans="1:2" ht="14.25">
      <c r="A8" t="s">
        <v>366</v>
      </c>
      <c r="B8" s="113">
        <v>500.78</v>
      </c>
    </row>
    <row r="9" spans="1:2" ht="14.25">
      <c r="A9" t="s">
        <v>367</v>
      </c>
      <c r="B9" s="113">
        <v>5.5</v>
      </c>
    </row>
    <row r="10" spans="1:2" ht="14.25">
      <c r="A10" t="s">
        <v>368</v>
      </c>
      <c r="B10" s="113">
        <v>1453.4</v>
      </c>
    </row>
    <row r="11" spans="1:2" ht="14.25">
      <c r="A11" t="s">
        <v>369</v>
      </c>
      <c r="B11" s="113">
        <v>235.15</v>
      </c>
    </row>
    <row r="12" spans="1:2" ht="14.25">
      <c r="A12" t="s">
        <v>370</v>
      </c>
      <c r="B12" s="113">
        <v>196.87</v>
      </c>
    </row>
    <row r="13" spans="1:2" ht="14.25">
      <c r="A13" t="s">
        <v>371</v>
      </c>
      <c r="B13" s="113">
        <v>36.9</v>
      </c>
    </row>
    <row r="14" spans="1:2" ht="14.25">
      <c r="A14" t="s">
        <v>372</v>
      </c>
      <c r="B14" s="113">
        <v>10.43</v>
      </c>
    </row>
    <row r="15" spans="1:2" ht="14.25">
      <c r="A15" t="s">
        <v>373</v>
      </c>
      <c r="B15" s="113">
        <v>47.33</v>
      </c>
    </row>
    <row r="16" spans="1:2" ht="14.25">
      <c r="A16" t="s">
        <v>374</v>
      </c>
      <c r="B16" s="113">
        <v>235.16</v>
      </c>
    </row>
    <row r="17" spans="1:2" ht="14.25">
      <c r="A17" t="s">
        <v>375</v>
      </c>
      <c r="B17" s="113">
        <v>782.63</v>
      </c>
    </row>
    <row r="18" spans="1:2" ht="14.25">
      <c r="A18" t="s">
        <v>376</v>
      </c>
      <c r="B18" s="113">
        <v>947.27</v>
      </c>
    </row>
    <row r="19" spans="1:2" ht="14.25">
      <c r="A19" t="s">
        <v>377</v>
      </c>
      <c r="B19" s="113">
        <v>11</v>
      </c>
    </row>
    <row r="20" spans="1:2" ht="14.25">
      <c r="A20" t="s">
        <v>378</v>
      </c>
      <c r="B20" s="113">
        <v>11</v>
      </c>
    </row>
    <row r="21" spans="1:2" ht="14.25">
      <c r="A21" t="s">
        <v>379</v>
      </c>
      <c r="B21" s="113">
        <v>55.64</v>
      </c>
    </row>
    <row r="22" spans="1:2" ht="14.25">
      <c r="A22" t="s">
        <v>155</v>
      </c>
      <c r="B22" s="113">
        <v>6598.13</v>
      </c>
    </row>
    <row r="23" spans="1:2" ht="14.25">
      <c r="A23" t="s">
        <v>380</v>
      </c>
      <c r="B23" s="113">
        <v>6598.13</v>
      </c>
    </row>
    <row r="24" ht="14.25">
      <c r="A24" t="s">
        <v>156</v>
      </c>
    </row>
    <row r="25" spans="1:2" ht="14.25">
      <c r="A25" t="s">
        <v>381</v>
      </c>
      <c r="B25" s="113">
        <v>800</v>
      </c>
    </row>
    <row r="26" spans="1:2" ht="14.25">
      <c r="A26" t="s">
        <v>382</v>
      </c>
      <c r="B26" s="113">
        <v>300</v>
      </c>
    </row>
    <row r="27" spans="1:2" ht="14.25">
      <c r="A27" t="s">
        <v>383</v>
      </c>
      <c r="B27" s="113">
        <v>140</v>
      </c>
    </row>
    <row r="28" spans="1:2" ht="14.25">
      <c r="A28" t="s">
        <v>384</v>
      </c>
      <c r="B28" s="113">
        <v>200</v>
      </c>
    </row>
    <row r="29" spans="1:2" ht="14.25">
      <c r="A29" t="s">
        <v>498</v>
      </c>
      <c r="B29" s="113">
        <v>50</v>
      </c>
    </row>
    <row r="30" spans="1:2" ht="14.25">
      <c r="A30" t="s">
        <v>385</v>
      </c>
      <c r="B30" s="113">
        <v>500</v>
      </c>
    </row>
    <row r="31" spans="1:2" ht="14.25">
      <c r="A31" t="s">
        <v>386</v>
      </c>
      <c r="B31" s="113">
        <v>323</v>
      </c>
    </row>
    <row r="32" spans="1:2" ht="14.25">
      <c r="A32" t="s">
        <v>387</v>
      </c>
      <c r="B32" s="113">
        <v>1184</v>
      </c>
    </row>
    <row r="33" spans="1:2" ht="14.25">
      <c r="A33" t="s">
        <v>388</v>
      </c>
      <c r="B33" s="113">
        <v>21.56</v>
      </c>
    </row>
    <row r="34" spans="1:2" ht="14.25">
      <c r="A34" t="s">
        <v>389</v>
      </c>
      <c r="B34" s="113">
        <v>54</v>
      </c>
    </row>
    <row r="35" spans="1:2" ht="14.25">
      <c r="A35" t="s">
        <v>390</v>
      </c>
      <c r="B35" s="113">
        <v>13.27</v>
      </c>
    </row>
    <row r="36" spans="1:2" ht="14.25">
      <c r="A36" t="s">
        <v>391</v>
      </c>
      <c r="B36" s="113">
        <v>49.95</v>
      </c>
    </row>
    <row r="37" spans="1:2" ht="14.25">
      <c r="A37" t="s">
        <v>392</v>
      </c>
      <c r="B37" s="113">
        <v>62.87</v>
      </c>
    </row>
    <row r="38" spans="1:2" ht="14.25">
      <c r="A38" t="s">
        <v>393</v>
      </c>
      <c r="B38" s="113">
        <v>365.8</v>
      </c>
    </row>
    <row r="39" spans="1:2" ht="14.25">
      <c r="A39" t="s">
        <v>394</v>
      </c>
      <c r="B39" s="113">
        <v>112.97</v>
      </c>
    </row>
    <row r="40" spans="1:2" ht="14.25">
      <c r="A40" t="s">
        <v>395</v>
      </c>
      <c r="B40" s="113">
        <v>411.75</v>
      </c>
    </row>
    <row r="41" spans="1:2" ht="14.25">
      <c r="A41" t="s">
        <v>396</v>
      </c>
      <c r="B41" s="113">
        <v>106.47</v>
      </c>
    </row>
    <row r="42" spans="1:2" ht="14.25">
      <c r="A42" t="s">
        <v>397</v>
      </c>
      <c r="B42" s="113">
        <v>1276.13</v>
      </c>
    </row>
    <row r="43" spans="1:2" ht="14.25">
      <c r="A43" t="s">
        <v>398</v>
      </c>
      <c r="B43" s="113">
        <v>844.71</v>
      </c>
    </row>
    <row r="44" spans="1:2" ht="14.25">
      <c r="A44" t="s">
        <v>399</v>
      </c>
      <c r="B44" s="113">
        <v>1399.79</v>
      </c>
    </row>
    <row r="45" spans="1:2" ht="14.25">
      <c r="A45" t="s">
        <v>400</v>
      </c>
      <c r="B45" s="113">
        <v>12209.38</v>
      </c>
    </row>
    <row r="46" spans="1:2" ht="14.25">
      <c r="A46" t="s">
        <v>401</v>
      </c>
      <c r="B46" s="113">
        <v>1462.33</v>
      </c>
    </row>
    <row r="47" spans="1:2" ht="14.25">
      <c r="A47" t="s">
        <v>402</v>
      </c>
      <c r="B47" s="113">
        <v>245.11</v>
      </c>
    </row>
    <row r="48" spans="1:2" ht="14.25">
      <c r="A48" t="s">
        <v>403</v>
      </c>
      <c r="B48" s="113">
        <v>98.44</v>
      </c>
    </row>
    <row r="49" spans="1:2" ht="14.25">
      <c r="A49" t="s">
        <v>404</v>
      </c>
      <c r="B49" s="113">
        <v>3724.52</v>
      </c>
    </row>
    <row r="50" ht="14.25">
      <c r="A50" t="s">
        <v>405</v>
      </c>
    </row>
    <row r="51" spans="1:2" ht="14.25">
      <c r="A51" t="s">
        <v>406</v>
      </c>
      <c r="B51" s="113">
        <v>-8.25</v>
      </c>
    </row>
    <row r="52" spans="1:2" ht="14.25">
      <c r="A52" t="s">
        <v>407</v>
      </c>
      <c r="B52" s="113">
        <v>0</v>
      </c>
    </row>
    <row r="53" spans="1:2" ht="14.25">
      <c r="A53" t="s">
        <v>408</v>
      </c>
      <c r="B53" s="113">
        <v>-8.25</v>
      </c>
    </row>
    <row r="54" spans="1:2" ht="14.25">
      <c r="A54" t="s">
        <v>409</v>
      </c>
      <c r="B54" s="113">
        <v>0</v>
      </c>
    </row>
    <row r="55" spans="1:2" ht="14.25">
      <c r="A55" t="s">
        <v>159</v>
      </c>
      <c r="B55" s="113">
        <v>25947.800000000003</v>
      </c>
    </row>
    <row r="56" spans="1:2" ht="14.25">
      <c r="A56" t="s">
        <v>410</v>
      </c>
      <c r="B56" s="113">
        <v>-19349.670000000002</v>
      </c>
    </row>
    <row r="57" ht="14.25">
      <c r="A57" t="s">
        <v>411</v>
      </c>
    </row>
    <row r="58" spans="1:2" ht="14.25">
      <c r="A58" t="s">
        <v>412</v>
      </c>
      <c r="B58" s="113">
        <v>0.02</v>
      </c>
    </row>
    <row r="59" spans="1:2" ht="14.25">
      <c r="A59" t="s">
        <v>413</v>
      </c>
      <c r="B59" s="113">
        <v>0.02</v>
      </c>
    </row>
    <row r="60" spans="1:2" ht="14.25">
      <c r="A60" t="s">
        <v>414</v>
      </c>
      <c r="B60" s="113">
        <v>-0.02</v>
      </c>
    </row>
    <row r="61" spans="1:2" ht="14.25">
      <c r="A61" t="s">
        <v>415</v>
      </c>
      <c r="B61" s="113">
        <v>-19349.690000000002</v>
      </c>
    </row>
    <row r="65" ht="14.25">
      <c r="A65" t="s">
        <v>499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4" t="s">
        <v>144</v>
      </c>
      <c r="B1" s="205"/>
    </row>
    <row r="2" spans="1:2" ht="17.25">
      <c r="A2" s="204" t="s">
        <v>145</v>
      </c>
      <c r="B2" s="205"/>
    </row>
    <row r="3" spans="1:2" ht="17.25">
      <c r="A3" s="204" t="s">
        <v>545</v>
      </c>
      <c r="B3" s="206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149</v>
      </c>
      <c r="B7" s="85">
        <f>'Feb 2017'!D16</f>
        <v>0</v>
      </c>
    </row>
    <row r="8" spans="1:2" ht="12.75" customHeight="1">
      <c r="A8" s="46" t="s">
        <v>150</v>
      </c>
      <c r="B8" s="85">
        <f>'Feb 2017'!D17</f>
        <v>0</v>
      </c>
    </row>
    <row r="9" spans="1:2" ht="12.75" customHeight="1">
      <c r="A9" s="46" t="s">
        <v>151</v>
      </c>
      <c r="B9" s="85">
        <f>'Feb 2017'!D18</f>
        <v>235.16</v>
      </c>
    </row>
    <row r="10" spans="1:2" ht="12.75" customHeight="1">
      <c r="A10" s="46" t="s">
        <v>152</v>
      </c>
      <c r="B10" s="85">
        <v>0</v>
      </c>
    </row>
    <row r="11" spans="1:2" ht="12.75" customHeight="1">
      <c r="A11" s="46" t="s">
        <v>153</v>
      </c>
      <c r="B11" s="85">
        <f>'Feb 2017'!D42</f>
        <v>0</v>
      </c>
    </row>
    <row r="12" spans="1:5" ht="12.75" customHeight="1">
      <c r="A12" s="46" t="s">
        <v>154</v>
      </c>
      <c r="B12" s="86">
        <v>0</v>
      </c>
      <c r="E12" s="49"/>
    </row>
    <row r="13" spans="1:2" ht="18" customHeight="1">
      <c r="A13" s="50" t="s">
        <v>155</v>
      </c>
      <c r="B13" s="51">
        <f>SUM(B7:B12)</f>
        <v>235.16</v>
      </c>
    </row>
    <row r="14" spans="1:2" ht="12.75" customHeight="1">
      <c r="A14" s="49"/>
      <c r="B14" s="52"/>
    </row>
    <row r="15" spans="1:2" ht="12.75" customHeight="1">
      <c r="A15" s="44" t="s">
        <v>156</v>
      </c>
      <c r="B15" s="53"/>
    </row>
    <row r="16" spans="1:2" ht="12.75" customHeight="1">
      <c r="A16" s="46" t="s">
        <v>157</v>
      </c>
      <c r="B16" s="47">
        <f>'Feb 2017'!D107</f>
        <v>2302</v>
      </c>
    </row>
    <row r="17" spans="1:2" ht="12.75" customHeight="1">
      <c r="A17" s="46" t="s">
        <v>153</v>
      </c>
      <c r="B17" s="47">
        <f>'Feb 2017'!D110</f>
        <v>0</v>
      </c>
    </row>
    <row r="18" spans="1:2" ht="12.75" customHeight="1">
      <c r="A18" s="46" t="s">
        <v>158</v>
      </c>
      <c r="B18" s="47">
        <f>'Feb 2017'!D109</f>
        <v>0</v>
      </c>
    </row>
    <row r="19" spans="1:4" ht="15.75" customHeight="1">
      <c r="A19" s="44" t="s">
        <v>159</v>
      </c>
      <c r="B19" s="51">
        <f>SUM(B16:B18)</f>
        <v>2302</v>
      </c>
      <c r="D19" s="54"/>
    </row>
    <row r="20" spans="1:2" ht="18" customHeight="1">
      <c r="A20" s="44" t="s">
        <v>160</v>
      </c>
      <c r="B20" s="55">
        <f>B13-B19</f>
        <v>-2066.84</v>
      </c>
    </row>
    <row r="21" spans="1:2" ht="12.75" customHeight="1">
      <c r="A21" s="49"/>
      <c r="B21" s="47"/>
    </row>
    <row r="22" spans="1:2" ht="12.75" customHeight="1">
      <c r="A22" s="49"/>
      <c r="B22" s="56"/>
    </row>
    <row r="23" spans="1:2" ht="12.75" customHeight="1">
      <c r="A23" s="42" t="s">
        <v>161</v>
      </c>
      <c r="B23" s="56"/>
    </row>
    <row r="24" spans="1:2" ht="12.75" customHeight="1">
      <c r="A24" s="50" t="s">
        <v>546</v>
      </c>
      <c r="B24" s="57"/>
    </row>
    <row r="25" spans="1:7" ht="12.75" customHeight="1">
      <c r="A25" s="102" t="s">
        <v>547</v>
      </c>
      <c r="B25" s="59"/>
      <c r="C25" s="62">
        <f>'BS -Feb'!F19</f>
        <v>555.29</v>
      </c>
      <c r="G25" s="60"/>
    </row>
    <row r="26" spans="1:7" ht="12.75" customHeight="1">
      <c r="A26" s="58" t="s">
        <v>162</v>
      </c>
      <c r="B26" s="61"/>
      <c r="C26" s="62">
        <f>B30+B32-555.1-2302.19</f>
        <v>-27050.569999999996</v>
      </c>
      <c r="G26" s="63"/>
    </row>
    <row r="27" spans="1:3" ht="12.75" customHeight="1">
      <c r="A27" s="58" t="s">
        <v>163</v>
      </c>
      <c r="B27" s="59"/>
      <c r="C27" s="64">
        <v>0</v>
      </c>
    </row>
    <row r="28" spans="1:4" ht="12.75" customHeight="1">
      <c r="A28" s="102" t="s">
        <v>548</v>
      </c>
      <c r="B28" s="61"/>
      <c r="C28" s="65">
        <f>SUM(C25:C27)</f>
        <v>-26495.279999999995</v>
      </c>
      <c r="D28" s="38" t="s">
        <v>164</v>
      </c>
    </row>
    <row r="29" spans="1:3" ht="12.75" customHeight="1">
      <c r="A29" s="58" t="s">
        <v>165</v>
      </c>
      <c r="B29" s="61"/>
      <c r="C29" s="53"/>
    </row>
    <row r="30" spans="1:3" ht="12.75" customHeight="1">
      <c r="A30" s="58" t="s">
        <v>166</v>
      </c>
      <c r="B30" s="62">
        <v>-24428.44</v>
      </c>
      <c r="C30" s="53"/>
    </row>
    <row r="31" spans="1:9" ht="12.75" customHeight="1">
      <c r="A31" s="58" t="s">
        <v>167</v>
      </c>
      <c r="B31" s="62">
        <v>0</v>
      </c>
      <c r="C31" s="53"/>
      <c r="I31" s="63"/>
    </row>
    <row r="32" spans="1:9" ht="12.75" customHeight="1">
      <c r="A32" s="58" t="s">
        <v>168</v>
      </c>
      <c r="B32" s="62">
        <f>B13</f>
        <v>235.16</v>
      </c>
      <c r="C32" s="53"/>
      <c r="I32" s="63"/>
    </row>
    <row r="33" spans="1:9" ht="12.75" customHeight="1">
      <c r="A33" s="58" t="s">
        <v>169</v>
      </c>
      <c r="B33" s="67">
        <f>-B19</f>
        <v>-2302</v>
      </c>
      <c r="C33" s="53"/>
      <c r="G33" s="63"/>
      <c r="I33" s="63"/>
    </row>
    <row r="34" spans="1:9" ht="12.75" customHeight="1">
      <c r="A34" s="58" t="s">
        <v>170</v>
      </c>
      <c r="B34" s="98">
        <f>B30+B31+B32+B33</f>
        <v>-26495.28</v>
      </c>
      <c r="C34" s="53"/>
      <c r="I34" s="63"/>
    </row>
    <row r="35" spans="1:9" ht="12.75" customHeight="1">
      <c r="A35" s="68" t="s">
        <v>4</v>
      </c>
      <c r="B35" s="62">
        <f>C28-B34</f>
        <v>0</v>
      </c>
      <c r="C35" s="53"/>
      <c r="I35" s="63"/>
    </row>
    <row r="36" spans="1:9" ht="12.75" customHeight="1">
      <c r="A36" s="49"/>
      <c r="B36" s="69"/>
      <c r="F36" s="70"/>
      <c r="G36" s="70"/>
      <c r="H36" s="70"/>
      <c r="I36" s="63"/>
    </row>
    <row r="37" spans="1:9" ht="12.75" customHeight="1">
      <c r="A37" s="49"/>
      <c r="B37" s="56"/>
      <c r="I37" s="63"/>
    </row>
    <row r="38" ht="12.75" customHeight="1">
      <c r="I38" s="63"/>
    </row>
    <row r="39" ht="12.75" customHeight="1"/>
    <row r="40" ht="12.75" customHeight="1"/>
    <row r="41" ht="12.75" customHeight="1"/>
    <row r="42" ht="12.75" customHeight="1"/>
    <row r="43" ht="12.75" customHeight="1"/>
    <row r="44" spans="1:2" ht="12.75" customHeight="1">
      <c r="A44" s="49"/>
      <c r="B44" s="56"/>
    </row>
    <row r="45" spans="1:2" ht="12.75" customHeight="1">
      <c r="A45" s="49"/>
      <c r="B45" s="56"/>
    </row>
    <row r="46" spans="1:2" ht="12.75" customHeight="1">
      <c r="A46" s="49"/>
      <c r="B46" s="56"/>
    </row>
    <row r="47" spans="1:2" ht="12.75" customHeight="1">
      <c r="A47" s="49"/>
      <c r="B47" s="56"/>
    </row>
    <row r="48" spans="1:2" ht="12.75" customHeight="1">
      <c r="A48" s="49"/>
      <c r="B48" s="56"/>
    </row>
    <row r="49" spans="1:2" ht="12.75" customHeight="1">
      <c r="A49" s="49"/>
      <c r="B49" s="56"/>
    </row>
    <row r="50" spans="1:2" ht="12.75" customHeight="1">
      <c r="A50" s="49"/>
      <c r="B50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5.00390625" style="0" customWidth="1"/>
    <col min="2" max="2" width="12.57421875" style="0" customWidth="1"/>
    <col min="3" max="3" width="15.421875" style="0" customWidth="1"/>
    <col min="4" max="4" width="12.7109375" style="0" customWidth="1"/>
    <col min="5" max="5" width="40.421875" style="0" customWidth="1"/>
    <col min="6" max="6" width="11.28125" style="0" customWidth="1"/>
  </cols>
  <sheetData>
    <row r="1" spans="1:2" ht="17.25">
      <c r="A1" s="204" t="s">
        <v>144</v>
      </c>
      <c r="B1" s="205"/>
    </row>
    <row r="2" spans="1:2" ht="17.25">
      <c r="A2" s="204" t="s">
        <v>171</v>
      </c>
      <c r="B2" s="205"/>
    </row>
    <row r="3" spans="1:2" ht="17.25">
      <c r="A3" s="204" t="str">
        <f>'Fire Tax -Feb'!A3:B3</f>
        <v>Month Ended:  February 28, 2017</v>
      </c>
      <c r="B3" s="206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172</v>
      </c>
      <c r="B7" s="47">
        <f>'Feb 2017'!D53</f>
        <v>23071.62</v>
      </c>
    </row>
    <row r="8" spans="1:2" ht="12.75" customHeight="1">
      <c r="A8" s="46" t="s">
        <v>173</v>
      </c>
      <c r="B8" s="47">
        <f>'Feb 2017'!D10</f>
        <v>8760.2</v>
      </c>
    </row>
    <row r="9" spans="1:5" ht="12.75" customHeight="1">
      <c r="A9" s="46" t="s">
        <v>174</v>
      </c>
      <c r="B9" s="48">
        <f>'Feb 2017'!D52</f>
        <v>21.98</v>
      </c>
      <c r="E9" s="49"/>
    </row>
    <row r="10" spans="1:2" ht="18" customHeight="1">
      <c r="A10" s="50" t="s">
        <v>155</v>
      </c>
      <c r="B10" s="51">
        <f>SUM(B7:B9)</f>
        <v>31853.8</v>
      </c>
    </row>
    <row r="11" spans="1:2" ht="12.75" customHeight="1">
      <c r="A11" s="49"/>
      <c r="B11" s="52"/>
    </row>
    <row r="12" spans="1:2" ht="12.75" customHeight="1">
      <c r="A12" s="44" t="s">
        <v>156</v>
      </c>
      <c r="B12" s="53"/>
    </row>
    <row r="13" spans="1:2" ht="12.75" customHeight="1">
      <c r="A13" s="46" t="s">
        <v>175</v>
      </c>
      <c r="B13" s="71">
        <f>'Feb 2017'!D166</f>
        <v>2488.32</v>
      </c>
    </row>
    <row r="14" spans="1:2" ht="19.5" customHeight="1">
      <c r="A14" s="44" t="s">
        <v>159</v>
      </c>
      <c r="B14" s="72">
        <f>SUM(B13:B13)</f>
        <v>2488.32</v>
      </c>
    </row>
    <row r="15" spans="1:3" ht="15.75" customHeight="1">
      <c r="A15" s="44" t="s">
        <v>160</v>
      </c>
      <c r="B15" s="73"/>
      <c r="C15" s="72">
        <f>B10-B14</f>
        <v>29365.48</v>
      </c>
    </row>
    <row r="16" spans="1:3" ht="12.75" customHeight="1">
      <c r="A16" s="49"/>
      <c r="B16" s="59"/>
      <c r="C16" s="62"/>
    </row>
    <row r="17" spans="1:7" ht="12.75" customHeight="1">
      <c r="A17" s="49"/>
      <c r="B17" s="61"/>
      <c r="G17" s="63"/>
    </row>
    <row r="18" spans="1:3" ht="12.75" customHeight="1">
      <c r="A18" s="42" t="s">
        <v>176</v>
      </c>
      <c r="B18" s="59"/>
      <c r="C18" s="62"/>
    </row>
    <row r="19" spans="1:3" ht="12.75" customHeight="1">
      <c r="A19" s="50" t="str">
        <f>'Fire Tax -Feb'!A24</f>
        <v>Month End, February 27, 2017</v>
      </c>
      <c r="B19" s="59"/>
      <c r="C19" s="74"/>
    </row>
    <row r="20" spans="1:3" ht="12.75" customHeight="1">
      <c r="A20" s="58" t="str">
        <f>'Fire Tax -Feb'!A25</f>
        <v>Cash, Balance @ 02/28/17 - per general ledger</v>
      </c>
      <c r="B20" s="61"/>
      <c r="C20" s="75">
        <f>'BS -Feb'!F15</f>
        <v>56120.58</v>
      </c>
    </row>
    <row r="21" spans="1:3" ht="15" customHeight="1">
      <c r="A21" s="58" t="s">
        <v>177</v>
      </c>
      <c r="C21" s="75"/>
    </row>
    <row r="22" spans="1:3" ht="17.25" customHeight="1">
      <c r="A22" s="58" t="s">
        <v>178</v>
      </c>
      <c r="C22" s="76"/>
    </row>
    <row r="23" spans="1:4" ht="17.25" customHeight="1">
      <c r="A23" s="58" t="str">
        <f>'Fire Tax -Feb'!A28</f>
        <v>Adjusted Cash, Balance @ 02/28/2017</v>
      </c>
      <c r="C23" s="75">
        <f>C20+C21+C22</f>
        <v>56120.58</v>
      </c>
      <c r="D23" s="38" t="s">
        <v>179</v>
      </c>
    </row>
    <row r="24" spans="1:3" ht="12.75" customHeight="1">
      <c r="A24" s="77" t="s">
        <v>165</v>
      </c>
      <c r="B24" s="66"/>
      <c r="C24" s="53"/>
    </row>
    <row r="25" spans="1:3" ht="12.75" customHeight="1">
      <c r="A25" s="58" t="s">
        <v>166</v>
      </c>
      <c r="B25" s="203">
        <f>26755.1</f>
        <v>26755.1</v>
      </c>
      <c r="C25" s="53"/>
    </row>
    <row r="26" spans="1:3" ht="12.75" customHeight="1">
      <c r="A26" s="58" t="s">
        <v>168</v>
      </c>
      <c r="B26" s="203">
        <f>B10</f>
        <v>31853.8</v>
      </c>
      <c r="C26" s="53"/>
    </row>
    <row r="27" spans="1:2" ht="12.75" customHeight="1">
      <c r="A27" s="58" t="s">
        <v>180</v>
      </c>
      <c r="B27" s="75">
        <f>-B14</f>
        <v>-2488.32</v>
      </c>
    </row>
    <row r="28" spans="1:2" ht="12.75" customHeight="1">
      <c r="A28" s="58" t="s">
        <v>170</v>
      </c>
      <c r="B28" s="75">
        <f>B25+B26+B27</f>
        <v>56120.579999999994</v>
      </c>
    </row>
    <row r="29" spans="1:2" ht="12.75" customHeight="1">
      <c r="A29" s="68" t="s">
        <v>4</v>
      </c>
      <c r="B29" s="75">
        <f>C23-B28</f>
        <v>0</v>
      </c>
    </row>
    <row r="30" ht="12.75" customHeight="1">
      <c r="A30" s="49"/>
    </row>
    <row r="31" spans="1:3" ht="12.75" customHeight="1">
      <c r="A31" s="49"/>
      <c r="C31" s="78"/>
    </row>
    <row r="32" ht="12.75" customHeight="1"/>
    <row r="33" ht="12.75" customHeight="1">
      <c r="B33" s="78"/>
    </row>
    <row r="34" ht="12.75" customHeight="1">
      <c r="B34" s="56"/>
    </row>
    <row r="35" ht="12.75" customHeight="1">
      <c r="B35" s="56"/>
    </row>
    <row r="36" ht="12.75" customHeight="1">
      <c r="B36" s="56"/>
    </row>
    <row r="37" ht="12.75" customHeight="1">
      <c r="B37" s="56"/>
    </row>
    <row r="38" spans="1:2" ht="12.75" customHeight="1">
      <c r="A38" s="49"/>
      <c r="B38" s="56"/>
    </row>
    <row r="39" spans="1:2" ht="12.75" customHeight="1">
      <c r="A39" s="49"/>
      <c r="B39" s="56"/>
    </row>
    <row r="40" spans="1:2" ht="12.75" customHeight="1">
      <c r="A40" s="49"/>
      <c r="B40" s="56"/>
    </row>
    <row r="41" ht="12.75">
      <c r="A41" s="49"/>
    </row>
    <row r="42" ht="12.75">
      <c r="A42" s="49"/>
    </row>
    <row r="43" ht="12.75">
      <c r="A43" s="49"/>
    </row>
    <row r="44" ht="12.75">
      <c r="A44" s="49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7.7109375" style="0" customWidth="1"/>
    <col min="2" max="2" width="12.140625" style="0" customWidth="1"/>
    <col min="3" max="3" width="11.7109375" style="0" customWidth="1"/>
    <col min="4" max="4" width="10.28125" style="0" customWidth="1"/>
    <col min="5" max="5" width="40.421875" style="0" customWidth="1"/>
    <col min="6" max="6" width="11.28125" style="0" customWidth="1"/>
  </cols>
  <sheetData>
    <row r="1" spans="1:2" ht="17.25">
      <c r="A1" s="204" t="s">
        <v>144</v>
      </c>
      <c r="B1" s="205"/>
    </row>
    <row r="2" spans="1:2" ht="17.25">
      <c r="A2" s="204" t="s">
        <v>181</v>
      </c>
      <c r="B2" s="205"/>
    </row>
    <row r="3" spans="1:2" ht="17.25">
      <c r="A3" s="204" t="str">
        <f>'Liquid Fuels Feb'!A3:B3</f>
        <v>Month Ended:  February 28, 2017</v>
      </c>
      <c r="B3" s="206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182</v>
      </c>
      <c r="B7" s="47">
        <f>'Feb 2017'!D44</f>
        <v>0</v>
      </c>
    </row>
    <row r="8" spans="1:2" ht="12.75" customHeight="1">
      <c r="A8" s="46" t="s">
        <v>183</v>
      </c>
      <c r="B8" s="47">
        <f>'Feb 2017'!D45</f>
        <v>3338.5800000000004</v>
      </c>
    </row>
    <row r="9" spans="1:2" ht="12.75" customHeight="1">
      <c r="A9" s="46" t="s">
        <v>184</v>
      </c>
      <c r="B9" s="91">
        <f>0</f>
        <v>0</v>
      </c>
    </row>
    <row r="10" spans="1:2" ht="18" customHeight="1">
      <c r="A10" s="50" t="s">
        <v>155</v>
      </c>
      <c r="B10" s="51">
        <f>SUM(B7:B9)</f>
        <v>3338.5800000000004</v>
      </c>
    </row>
    <row r="11" spans="1:2" ht="12.75" customHeight="1">
      <c r="A11" s="49"/>
      <c r="B11" s="52"/>
    </row>
    <row r="12" spans="1:2" ht="12.75" customHeight="1">
      <c r="A12" s="44" t="s">
        <v>156</v>
      </c>
      <c r="B12" s="53"/>
    </row>
    <row r="13" spans="1:2" ht="12.75" customHeight="1">
      <c r="A13" s="46" t="s">
        <v>185</v>
      </c>
      <c r="B13" s="47">
        <f>'Feb 2017'!D126</f>
        <v>7449.04</v>
      </c>
    </row>
    <row r="14" spans="1:2" ht="12.75" customHeight="1">
      <c r="A14" s="46" t="s">
        <v>186</v>
      </c>
      <c r="B14" s="47">
        <f>'Feb 2017'!D127</f>
        <v>0</v>
      </c>
    </row>
    <row r="15" spans="1:2" ht="12.75" customHeight="1">
      <c r="A15" s="46" t="s">
        <v>187</v>
      </c>
      <c r="B15" s="47">
        <v>0</v>
      </c>
    </row>
    <row r="16" spans="1:5" ht="15.75" customHeight="1">
      <c r="A16" s="44" t="s">
        <v>159</v>
      </c>
      <c r="B16" s="51">
        <f>SUM(B13:B15)</f>
        <v>7449.04</v>
      </c>
      <c r="D16" s="54"/>
      <c r="E16" s="54"/>
    </row>
    <row r="17" spans="1:5" ht="18" customHeight="1">
      <c r="A17" s="44" t="s">
        <v>160</v>
      </c>
      <c r="B17" s="55">
        <f>B10-B16</f>
        <v>-4110.459999999999</v>
      </c>
      <c r="E17" s="87"/>
    </row>
    <row r="18" spans="1:4" ht="12.75" customHeight="1">
      <c r="A18" s="49"/>
      <c r="B18" s="47"/>
      <c r="D18" s="54"/>
    </row>
    <row r="19" spans="1:5" ht="12.75" customHeight="1">
      <c r="A19" s="49"/>
      <c r="B19" s="56"/>
      <c r="E19" s="54"/>
    </row>
    <row r="20" spans="1:2" ht="12.75" customHeight="1">
      <c r="A20" s="42" t="s">
        <v>188</v>
      </c>
      <c r="B20" s="56"/>
    </row>
    <row r="21" spans="1:2" ht="12.75" customHeight="1">
      <c r="A21" s="50" t="str">
        <f>'Liquid Fuels Feb'!A19</f>
        <v>Month End, February 27, 2017</v>
      </c>
      <c r="B21" s="57"/>
    </row>
    <row r="22" spans="1:3" ht="12.75" customHeight="1">
      <c r="A22" s="58" t="str">
        <f>'Fire Tax -Feb'!A25</f>
        <v>Cash, Balance @ 02/28/17 - per general ledger</v>
      </c>
      <c r="B22" s="59"/>
      <c r="C22" s="62">
        <f>'BS -Feb'!F21</f>
        <v>2642.93</v>
      </c>
    </row>
    <row r="23" spans="1:7" ht="12.75" customHeight="1">
      <c r="A23" s="58" t="s">
        <v>189</v>
      </c>
      <c r="B23" s="61"/>
      <c r="C23" s="62">
        <f>-2840.94-0.06-28.1-2.34+136.19</f>
        <v>-2735.25</v>
      </c>
      <c r="G23" s="63"/>
    </row>
    <row r="24" spans="1:3" ht="12.75" customHeight="1">
      <c r="A24" s="58" t="s">
        <v>190</v>
      </c>
      <c r="B24" s="59"/>
      <c r="C24" s="64"/>
    </row>
    <row r="25" spans="1:4" ht="12.75" customHeight="1">
      <c r="A25" s="58" t="str">
        <f>'Liquid Fuels Feb'!A23</f>
        <v>Adjusted Cash, Balance @ 02/28/2017</v>
      </c>
      <c r="B25" s="61"/>
      <c r="C25" s="100">
        <f>SUM(C22:C24)</f>
        <v>-92.32000000000016</v>
      </c>
      <c r="D25" s="38"/>
    </row>
    <row r="26" spans="1:3" ht="12.75" customHeight="1">
      <c r="A26" s="58" t="s">
        <v>165</v>
      </c>
      <c r="B26" s="61"/>
      <c r="C26" s="53"/>
    </row>
    <row r="27" spans="1:3" ht="12.75" customHeight="1">
      <c r="A27" s="58" t="s">
        <v>166</v>
      </c>
      <c r="B27" s="203">
        <v>4018.14</v>
      </c>
      <c r="C27" s="53"/>
    </row>
    <row r="28" spans="1:3" ht="12.75" customHeight="1">
      <c r="A28" s="58" t="s">
        <v>191</v>
      </c>
      <c r="B28" s="79">
        <v>0</v>
      </c>
      <c r="C28" s="53"/>
    </row>
    <row r="29" spans="1:3" ht="12.75" customHeight="1">
      <c r="A29" s="58" t="s">
        <v>168</v>
      </c>
      <c r="B29" s="79">
        <f>B10</f>
        <v>3338.5800000000004</v>
      </c>
      <c r="C29" s="53"/>
    </row>
    <row r="30" spans="1:3" ht="12.75" customHeight="1">
      <c r="A30" s="58" t="s">
        <v>180</v>
      </c>
      <c r="B30" s="80">
        <f>-B16</f>
        <v>-7449.04</v>
      </c>
      <c r="C30" s="53"/>
    </row>
    <row r="31" spans="1:4" ht="12.75" customHeight="1">
      <c r="A31" s="58" t="s">
        <v>170</v>
      </c>
      <c r="B31" s="80">
        <f>B27+B28+B29+B30</f>
        <v>-92.31999999999971</v>
      </c>
      <c r="C31" s="53"/>
      <c r="D31" s="63"/>
    </row>
    <row r="32" spans="1:3" ht="12.75" customHeight="1">
      <c r="A32" s="68" t="s">
        <v>4</v>
      </c>
      <c r="B32" s="99">
        <f>+C25-B31</f>
        <v>-4.547473508864641E-13</v>
      </c>
      <c r="C32" s="53"/>
    </row>
    <row r="33" spans="1:4" ht="12.75" customHeight="1">
      <c r="A33" s="49"/>
      <c r="B33" s="69"/>
      <c r="D33" s="60"/>
    </row>
    <row r="34" spans="1:2" ht="12.75" customHeight="1">
      <c r="A34" s="49"/>
      <c r="B34" s="56"/>
    </row>
    <row r="35" spans="1:4" ht="12.75" customHeight="1">
      <c r="A35" s="103"/>
      <c r="C35" s="78"/>
      <c r="D35" s="63"/>
    </row>
    <row r="36" ht="12.75" customHeight="1">
      <c r="A36" s="103"/>
    </row>
    <row r="37" ht="12.75" customHeight="1">
      <c r="D37" s="60"/>
    </row>
    <row r="38" ht="12.75" customHeight="1"/>
    <row r="39" ht="12.75" customHeight="1"/>
    <row r="40" ht="12.75" customHeight="1"/>
    <row r="41" spans="1:2" ht="12.75" customHeight="1">
      <c r="A41" s="49"/>
      <c r="B41" s="56"/>
    </row>
    <row r="42" spans="1:2" ht="12.75" customHeight="1">
      <c r="A42" s="49"/>
      <c r="B42" s="56"/>
    </row>
    <row r="43" spans="1:2" ht="12.75" customHeight="1">
      <c r="A43" s="49"/>
      <c r="B43" s="56"/>
    </row>
    <row r="44" spans="1:2" ht="12.75" customHeight="1">
      <c r="A44" s="49"/>
      <c r="B44" s="56"/>
    </row>
    <row r="45" spans="1:2" ht="12.75" customHeight="1">
      <c r="A45" s="49"/>
      <c r="B45" s="56"/>
    </row>
    <row r="46" spans="1:2" ht="12.75" customHeight="1">
      <c r="A46" s="49"/>
      <c r="B46" s="56"/>
    </row>
    <row r="47" spans="1:2" ht="12.75" customHeight="1">
      <c r="A47" s="49"/>
      <c r="B47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4" t="s">
        <v>144</v>
      </c>
      <c r="B1" s="205"/>
    </row>
    <row r="2" spans="1:2" ht="17.25">
      <c r="A2" s="204" t="s">
        <v>192</v>
      </c>
      <c r="B2" s="205"/>
    </row>
    <row r="3" spans="1:2" ht="17.25">
      <c r="A3" s="204" t="str">
        <f>'Liquid Fuels Feb'!A3:B3</f>
        <v>Month Ended:  February 28, 2017</v>
      </c>
      <c r="B3" s="206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7.25" customHeight="1">
      <c r="A7" s="46" t="s">
        <v>493</v>
      </c>
      <c r="B7" s="45"/>
    </row>
    <row r="8" spans="1:2" ht="12.75" customHeight="1">
      <c r="A8" s="46" t="s">
        <v>193</v>
      </c>
      <c r="B8" s="85"/>
    </row>
    <row r="9" spans="1:2" ht="18" customHeight="1">
      <c r="A9" s="50" t="s">
        <v>155</v>
      </c>
      <c r="B9" s="51">
        <f>SUM(B7:B8)</f>
        <v>0</v>
      </c>
    </row>
    <row r="10" spans="1:2" ht="12.75" customHeight="1">
      <c r="A10" s="49"/>
      <c r="B10" s="52"/>
    </row>
    <row r="11" spans="1:2" ht="12.75" customHeight="1">
      <c r="A11" s="44" t="s">
        <v>156</v>
      </c>
      <c r="B11" s="53"/>
    </row>
    <row r="12" spans="1:2" ht="12.75" customHeight="1">
      <c r="A12" s="46" t="s">
        <v>194</v>
      </c>
      <c r="B12" s="47">
        <v>0</v>
      </c>
    </row>
    <row r="13" spans="1:4" ht="15.75" customHeight="1">
      <c r="A13" s="44" t="s">
        <v>159</v>
      </c>
      <c r="B13" s="51">
        <f>SUM(B12:B12)</f>
        <v>0</v>
      </c>
      <c r="D13" s="54"/>
    </row>
    <row r="14" spans="1:2" ht="18" customHeight="1">
      <c r="A14" s="44" t="s">
        <v>160</v>
      </c>
      <c r="B14" s="55">
        <f>B9-B13</f>
        <v>0</v>
      </c>
    </row>
    <row r="15" spans="1:2" ht="12.75" customHeight="1">
      <c r="A15" s="49"/>
      <c r="B15" s="47"/>
    </row>
    <row r="16" spans="1:2" ht="12.75" customHeight="1">
      <c r="A16" s="49"/>
      <c r="B16" s="56"/>
    </row>
    <row r="17" spans="1:2" ht="12.75" customHeight="1">
      <c r="A17" s="42" t="s">
        <v>195</v>
      </c>
      <c r="B17" s="56"/>
    </row>
    <row r="18" spans="1:2" ht="12.75" customHeight="1">
      <c r="A18" s="50" t="str">
        <f>'Solid Waste -Feb'!A21</f>
        <v>Month End, February 27, 2017</v>
      </c>
      <c r="B18" s="57"/>
    </row>
    <row r="19" spans="1:7" ht="12.75" customHeight="1">
      <c r="A19" s="58" t="str">
        <f>'Solid Waste -Feb'!A22</f>
        <v>Cash, Balance @ 02/28/17 - per general ledger</v>
      </c>
      <c r="B19" s="59"/>
      <c r="C19" s="62">
        <f>'BS -Feb'!F13</f>
        <v>26117.16</v>
      </c>
      <c r="G19" s="60"/>
    </row>
    <row r="20" spans="1:7" ht="12.75" customHeight="1">
      <c r="A20" s="58" t="s">
        <v>196</v>
      </c>
      <c r="B20" s="61"/>
      <c r="C20" s="62"/>
      <c r="G20" s="63"/>
    </row>
    <row r="21" spans="1:4" ht="12.75" customHeight="1">
      <c r="A21" s="58" t="s">
        <v>197</v>
      </c>
      <c r="B21" s="59"/>
      <c r="C21" s="64">
        <v>0</v>
      </c>
      <c r="D21" t="s">
        <v>198</v>
      </c>
    </row>
    <row r="22" spans="1:4" ht="12.75" customHeight="1">
      <c r="A22" s="58" t="str">
        <f>'Solid Waste -Feb'!A25</f>
        <v>Adjusted Cash, Balance @ 02/28/2017</v>
      </c>
      <c r="B22" s="61"/>
      <c r="C22" s="65">
        <f>SUM(C19:C21)</f>
        <v>26117.16</v>
      </c>
      <c r="D22" s="38" t="s">
        <v>199</v>
      </c>
    </row>
    <row r="23" spans="1:3" ht="12.75" customHeight="1">
      <c r="A23" s="58" t="s">
        <v>165</v>
      </c>
      <c r="B23" s="61"/>
      <c r="C23" s="53"/>
    </row>
    <row r="24" spans="1:3" ht="12.75" customHeight="1">
      <c r="A24" s="58" t="s">
        <v>166</v>
      </c>
      <c r="B24" s="62">
        <f>'BS -Feb'!F13</f>
        <v>26117.16</v>
      </c>
      <c r="C24" s="53"/>
    </row>
    <row r="25" spans="1:9" ht="12.75" customHeight="1">
      <c r="A25" s="58" t="s">
        <v>167</v>
      </c>
      <c r="B25" s="62">
        <v>0</v>
      </c>
      <c r="C25" s="53"/>
      <c r="I25" s="63"/>
    </row>
    <row r="26" spans="1:9" ht="12.75" customHeight="1">
      <c r="A26" s="58" t="s">
        <v>490</v>
      </c>
      <c r="B26" s="62">
        <v>0</v>
      </c>
      <c r="C26" s="53"/>
      <c r="I26" s="63"/>
    </row>
    <row r="27" spans="1:9" ht="12.75" customHeight="1">
      <c r="A27" s="58" t="s">
        <v>168</v>
      </c>
      <c r="B27" s="66">
        <f>B9</f>
        <v>0</v>
      </c>
      <c r="C27" s="53"/>
      <c r="I27" s="63"/>
    </row>
    <row r="28" spans="1:9" ht="12.75" customHeight="1">
      <c r="A28" s="58" t="s">
        <v>169</v>
      </c>
      <c r="B28" s="67">
        <f>-B13</f>
        <v>0</v>
      </c>
      <c r="C28" s="53"/>
      <c r="G28" s="63"/>
      <c r="I28" s="63"/>
    </row>
    <row r="29" spans="1:9" ht="12.75" customHeight="1">
      <c r="A29" s="58" t="s">
        <v>170</v>
      </c>
      <c r="B29" s="51">
        <f>B24+B25+B27+B28+B26</f>
        <v>26117.16</v>
      </c>
      <c r="C29" s="53"/>
      <c r="I29" s="63"/>
    </row>
    <row r="30" spans="1:9" ht="12.75" customHeight="1">
      <c r="A30" s="68" t="s">
        <v>4</v>
      </c>
      <c r="B30" s="101">
        <f>C22-B29</f>
        <v>0</v>
      </c>
      <c r="C30" s="53"/>
      <c r="I30" s="63"/>
    </row>
    <row r="31" spans="1:9" ht="12.75" customHeight="1">
      <c r="A31" s="49"/>
      <c r="B31" s="69"/>
      <c r="F31" s="70"/>
      <c r="G31" s="70"/>
      <c r="H31" s="70"/>
      <c r="I31" s="63"/>
    </row>
    <row r="32" spans="1:9" ht="12.75" customHeight="1">
      <c r="A32" s="49"/>
      <c r="B32" s="56"/>
      <c r="I32" s="63"/>
    </row>
    <row r="33" spans="1:9" ht="12.75" customHeight="1">
      <c r="A33" s="103"/>
      <c r="I33" s="63"/>
    </row>
    <row r="34" ht="12.75" customHeight="1"/>
    <row r="35" ht="12.75" customHeight="1"/>
    <row r="36" ht="12.75" customHeight="1"/>
    <row r="37" ht="12.75" customHeight="1"/>
    <row r="38" ht="12.75" customHeight="1"/>
    <row r="39" spans="1:2" ht="12.75" customHeight="1">
      <c r="A39" s="49"/>
      <c r="B39" s="56"/>
    </row>
    <row r="40" spans="1:2" ht="12.75" customHeight="1">
      <c r="A40" s="49"/>
      <c r="B40" s="56"/>
    </row>
    <row r="41" spans="1:2" ht="12.75" customHeight="1">
      <c r="A41" s="49"/>
      <c r="B41" s="56"/>
    </row>
    <row r="42" spans="1:2" ht="12.75" customHeight="1">
      <c r="A42" s="49"/>
      <c r="B42" s="56"/>
    </row>
    <row r="43" spans="1:2" ht="12.75" customHeight="1">
      <c r="A43" s="49"/>
      <c r="B43" s="56"/>
    </row>
    <row r="44" spans="1:2" ht="12.75" customHeight="1">
      <c r="A44" s="49"/>
      <c r="B44" s="56"/>
    </row>
    <row r="45" spans="1:2" ht="12.75" customHeight="1">
      <c r="A45" s="49"/>
      <c r="B45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E14" sqref="E14"/>
    </sheetView>
  </sheetViews>
  <sheetFormatPr defaultColWidth="9.140625" defaultRowHeight="12.75"/>
  <cols>
    <col min="6" max="6" width="15.8515625" style="108" customWidth="1"/>
    <col min="7" max="7" width="14.57421875" style="0" customWidth="1"/>
    <col min="8" max="8" width="19.28125" style="0" customWidth="1"/>
    <col min="9" max="9" width="13.28125" style="0" customWidth="1"/>
    <col min="12" max="12" width="53.140625" style="0" bestFit="1" customWidth="1"/>
  </cols>
  <sheetData>
    <row r="1" spans="2:6" s="5" customFormat="1" ht="12.75">
      <c r="B1" s="13"/>
      <c r="E1" s="20"/>
      <c r="F1" s="81"/>
    </row>
    <row r="2" spans="2:6" s="5" customFormat="1" ht="12.75">
      <c r="B2" s="13"/>
      <c r="E2" s="20"/>
      <c r="F2" s="81"/>
    </row>
    <row r="3" spans="1:8" s="11" customFormat="1" ht="15">
      <c r="A3" s="6"/>
      <c r="B3" s="7"/>
      <c r="C3" s="8" t="s">
        <v>0</v>
      </c>
      <c r="D3" s="12"/>
      <c r="E3" s="9"/>
      <c r="F3" s="82"/>
      <c r="G3" s="90"/>
      <c r="H3" s="90"/>
    </row>
    <row r="4" spans="1:8" s="11" customFormat="1" ht="15">
      <c r="A4" s="6"/>
      <c r="B4" s="12"/>
      <c r="C4" s="8" t="s">
        <v>200</v>
      </c>
      <c r="D4" s="8"/>
      <c r="E4" s="9"/>
      <c r="F4" s="82"/>
      <c r="G4" s="90"/>
      <c r="H4" s="90"/>
    </row>
    <row r="5" spans="1:8" s="11" customFormat="1" ht="15">
      <c r="A5" s="6"/>
      <c r="B5" s="12"/>
      <c r="C5" s="8" t="s">
        <v>495</v>
      </c>
      <c r="D5" s="8"/>
      <c r="E5" s="9"/>
      <c r="F5" s="82"/>
      <c r="G5" s="90"/>
      <c r="H5" s="90"/>
    </row>
    <row r="7" ht="12.75">
      <c r="F7"/>
    </row>
    <row r="8" spans="6:9" ht="12.75">
      <c r="F8" s="84" t="s">
        <v>201</v>
      </c>
      <c r="G8" s="84" t="s">
        <v>202</v>
      </c>
      <c r="H8" s="84" t="s">
        <v>203</v>
      </c>
      <c r="I8" s="84" t="s">
        <v>204</v>
      </c>
    </row>
    <row r="9" spans="2:8" ht="12.75">
      <c r="B9" s="5" t="s">
        <v>205</v>
      </c>
      <c r="C9" s="5"/>
      <c r="D9" s="5"/>
      <c r="E9" s="5"/>
      <c r="F9" s="83">
        <f>Sheet5!B9</f>
        <v>52377.53</v>
      </c>
      <c r="G9" s="92">
        <f>-G13-G21-G19</f>
        <v>19040.48</v>
      </c>
      <c r="H9" s="83">
        <f>F9+G9</f>
        <v>71418.01</v>
      </c>
    </row>
    <row r="10" spans="2:7" ht="12.75">
      <c r="B10" s="5"/>
      <c r="C10" s="5"/>
      <c r="D10" s="5"/>
      <c r="E10" s="5"/>
      <c r="F10" s="83"/>
      <c r="G10" s="88"/>
    </row>
    <row r="11" spans="2:8" ht="12.75">
      <c r="B11" s="5" t="s">
        <v>206</v>
      </c>
      <c r="C11" s="5"/>
      <c r="D11" s="5"/>
      <c r="E11" s="5"/>
      <c r="F11" s="83">
        <f>Sheet5!B11</f>
        <v>19861.66</v>
      </c>
      <c r="G11" s="88"/>
      <c r="H11" s="83">
        <f>F11+G11</f>
        <v>19861.66</v>
      </c>
    </row>
    <row r="12" spans="2:8" ht="12.75">
      <c r="B12" s="5"/>
      <c r="C12" s="5"/>
      <c r="D12" s="5"/>
      <c r="E12" s="5"/>
      <c r="F12" s="83"/>
      <c r="G12" s="88"/>
      <c r="H12" s="83"/>
    </row>
    <row r="13" spans="2:11" ht="12.75">
      <c r="B13" s="5" t="s">
        <v>489</v>
      </c>
      <c r="C13" s="5"/>
      <c r="D13" s="5"/>
      <c r="E13" s="5"/>
      <c r="F13" s="83">
        <f>Sheet5!B10</f>
        <v>26117.16</v>
      </c>
      <c r="G13" s="92">
        <f>'[1]Playground-Oct'!C20</f>
        <v>0</v>
      </c>
      <c r="H13" s="83">
        <f>F13+G13</f>
        <v>26117.16</v>
      </c>
      <c r="I13" s="38" t="s">
        <v>199</v>
      </c>
      <c r="K13" s="54"/>
    </row>
    <row r="14" spans="2:8" ht="12.75">
      <c r="B14" s="5"/>
      <c r="C14" s="5"/>
      <c r="D14" s="5"/>
      <c r="E14" s="5"/>
      <c r="F14" s="83"/>
      <c r="G14" s="88"/>
      <c r="H14" s="83"/>
    </row>
    <row r="15" spans="2:11" ht="12.75">
      <c r="B15" s="5" t="s">
        <v>207</v>
      </c>
      <c r="C15" s="5"/>
      <c r="D15" s="5"/>
      <c r="E15" s="5"/>
      <c r="F15" s="83">
        <f>Sheet5!B19</f>
        <v>56120.58</v>
      </c>
      <c r="G15" s="92"/>
      <c r="H15" s="83">
        <f>F15+G15</f>
        <v>56120.58</v>
      </c>
      <c r="I15" s="38" t="s">
        <v>179</v>
      </c>
      <c r="K15" s="54"/>
    </row>
    <row r="16" spans="2:8" ht="12.75">
      <c r="B16" s="5"/>
      <c r="C16" s="5"/>
      <c r="D16" s="5"/>
      <c r="E16" s="5"/>
      <c r="F16" s="83"/>
      <c r="G16" s="88"/>
      <c r="H16" s="83"/>
    </row>
    <row r="17" spans="2:8" ht="12.75">
      <c r="B17" s="5" t="s">
        <v>208</v>
      </c>
      <c r="C17" s="5"/>
      <c r="D17" s="5"/>
      <c r="E17" s="5"/>
      <c r="F17" s="83">
        <f>Sheet5!B16</f>
        <v>38822.92</v>
      </c>
      <c r="G17" s="92"/>
      <c r="H17" s="83">
        <f>F17+G17</f>
        <v>38822.92</v>
      </c>
    </row>
    <row r="18" spans="2:8" ht="12.75">
      <c r="B18" s="5"/>
      <c r="C18" s="5"/>
      <c r="D18" s="5"/>
      <c r="E18" s="5"/>
      <c r="F18" s="83"/>
      <c r="G18" s="88"/>
      <c r="H18" s="83"/>
    </row>
    <row r="19" spans="2:9" ht="12.75">
      <c r="B19" s="5" t="s">
        <v>209</v>
      </c>
      <c r="C19" s="5"/>
      <c r="D19" s="5"/>
      <c r="E19" s="5"/>
      <c r="F19" s="83">
        <f>Sheet5!B15</f>
        <v>555.29</v>
      </c>
      <c r="G19" s="92">
        <f>'[1]Fire Tax -Oct'!C25</f>
        <v>-14089.63</v>
      </c>
      <c r="H19" s="94">
        <f>F19+G19</f>
        <v>-13534.34</v>
      </c>
      <c r="I19" s="38" t="s">
        <v>164</v>
      </c>
    </row>
    <row r="20" spans="2:8" ht="12.75">
      <c r="B20" s="5"/>
      <c r="C20" s="5"/>
      <c r="D20" s="5"/>
      <c r="E20" s="5"/>
      <c r="F20" s="83"/>
      <c r="G20" s="88"/>
      <c r="H20" s="93"/>
    </row>
    <row r="21" spans="2:9" ht="12.75">
      <c r="B21" s="5" t="s">
        <v>210</v>
      </c>
      <c r="C21" s="5"/>
      <c r="D21" s="5"/>
      <c r="E21" s="5"/>
      <c r="F21" s="81">
        <f>Sheet5!B17</f>
        <v>2642.93</v>
      </c>
      <c r="G21" s="92">
        <f>'[1]Solid Waste -Oct'!C27</f>
        <v>-4950.849999999999</v>
      </c>
      <c r="H21" s="92">
        <f>F21+G21</f>
        <v>-2307.9199999999996</v>
      </c>
      <c r="I21" s="38" t="s">
        <v>211</v>
      </c>
    </row>
    <row r="22" spans="2:8" ht="12.75">
      <c r="B22" s="5"/>
      <c r="C22" s="5"/>
      <c r="D22" s="5"/>
      <c r="E22" s="5"/>
      <c r="F22" s="83"/>
      <c r="G22" s="88"/>
      <c r="H22" s="83"/>
    </row>
    <row r="23" spans="2:8" ht="12.75">
      <c r="B23" s="5" t="s">
        <v>212</v>
      </c>
      <c r="C23" s="5"/>
      <c r="D23" s="5"/>
      <c r="E23" s="5"/>
      <c r="F23" s="220">
        <f>Sheet5!B14</f>
        <v>-0.45</v>
      </c>
      <c r="G23" s="89"/>
      <c r="H23" s="220">
        <f>F23+G23</f>
        <v>-0.45</v>
      </c>
    </row>
    <row r="24" spans="2:7" ht="12.75">
      <c r="B24" s="5"/>
      <c r="C24" s="5"/>
      <c r="D24" s="5"/>
      <c r="E24" s="5"/>
      <c r="F24" s="83"/>
      <c r="G24" s="88"/>
    </row>
    <row r="25" spans="2:8" ht="12.75">
      <c r="B25" s="5" t="s">
        <v>147</v>
      </c>
      <c r="C25" s="5"/>
      <c r="D25" s="5"/>
      <c r="E25" s="5"/>
      <c r="F25" s="97">
        <f>SUM(F9:F23)</f>
        <v>196497.61999999997</v>
      </c>
      <c r="G25" s="97">
        <f>SUM(G9:G23)</f>
        <v>0</v>
      </c>
      <c r="H25" s="97">
        <f>SUM(H9:H24)</f>
        <v>196497.62</v>
      </c>
    </row>
    <row r="26" ht="12.75">
      <c r="F26" s="83"/>
    </row>
    <row r="27" ht="12.75">
      <c r="F27" s="83"/>
    </row>
    <row r="28" ht="12.75">
      <c r="F28" s="83"/>
    </row>
    <row r="29" ht="12.75">
      <c r="F29" s="107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4"/>
  <sheetViews>
    <sheetView zoomScalePageLayoutView="0" workbookViewId="0" topLeftCell="A242">
      <selection activeCell="B256" sqref="B256"/>
    </sheetView>
  </sheetViews>
  <sheetFormatPr defaultColWidth="9.140625" defaultRowHeight="12.75"/>
  <cols>
    <col min="1" max="1" width="9.7109375" style="114" customWidth="1"/>
    <col min="2" max="2" width="42.421875" style="115" customWidth="1"/>
    <col min="3" max="3" width="12.421875" style="116" hidden="1" customWidth="1"/>
    <col min="4" max="4" width="20.421875" style="117" hidden="1" customWidth="1"/>
    <col min="5" max="5" width="35.421875" style="116" customWidth="1"/>
    <col min="6" max="6" width="18.8515625" style="116" hidden="1" customWidth="1"/>
    <col min="7" max="7" width="55.421875" style="116" hidden="1" customWidth="1"/>
    <col min="8" max="8" width="5.28125" style="115" hidden="1" customWidth="1"/>
    <col min="9" max="9" width="32.8515625" style="115" customWidth="1"/>
    <col min="10" max="16384" width="8.8515625" style="115" customWidth="1"/>
  </cols>
  <sheetData>
    <row r="1" ht="13.5" thickBot="1"/>
    <row r="2" spans="1:7" ht="12.75">
      <c r="A2" s="207" t="s">
        <v>500</v>
      </c>
      <c r="B2" s="208"/>
      <c r="C2" s="208"/>
      <c r="D2" s="208"/>
      <c r="E2" s="208"/>
      <c r="F2" s="208"/>
      <c r="G2" s="209"/>
    </row>
    <row r="3" spans="1:7" ht="13.5" thickBot="1">
      <c r="A3" s="210"/>
      <c r="B3" s="211"/>
      <c r="C3" s="211"/>
      <c r="D3" s="211"/>
      <c r="E3" s="211"/>
      <c r="F3" s="211"/>
      <c r="G3" s="212"/>
    </row>
    <row r="4" spans="1:7" ht="13.5">
      <c r="A4" s="118"/>
      <c r="B4" s="119"/>
      <c r="C4" s="120">
        <v>2016</v>
      </c>
      <c r="D4" s="121" t="s">
        <v>213</v>
      </c>
      <c r="E4" s="120">
        <v>2017</v>
      </c>
      <c r="F4" s="122" t="s">
        <v>214</v>
      </c>
      <c r="G4" s="123">
        <v>2013</v>
      </c>
    </row>
    <row r="5" spans="1:7" ht="13.5">
      <c r="A5" s="124" t="s">
        <v>215</v>
      </c>
      <c r="B5" s="125"/>
      <c r="C5" s="126" t="s">
        <v>216</v>
      </c>
      <c r="D5" s="127" t="s">
        <v>217</v>
      </c>
      <c r="E5" s="126" t="s">
        <v>218</v>
      </c>
      <c r="F5" s="126" t="s">
        <v>219</v>
      </c>
      <c r="G5" s="128" t="s">
        <v>220</v>
      </c>
    </row>
    <row r="6" spans="1:7" ht="14.25" thickBot="1">
      <c r="A6" s="129" t="s">
        <v>221</v>
      </c>
      <c r="B6" s="130" t="s">
        <v>222</v>
      </c>
      <c r="C6" s="130" t="s">
        <v>3</v>
      </c>
      <c r="D6" s="131" t="s">
        <v>223</v>
      </c>
      <c r="E6" s="130" t="s">
        <v>3</v>
      </c>
      <c r="F6" s="130" t="s">
        <v>224</v>
      </c>
      <c r="G6" s="132" t="s">
        <v>3</v>
      </c>
    </row>
    <row r="7" spans="3:7" ht="12.75">
      <c r="C7" s="133"/>
      <c r="E7" s="134"/>
      <c r="F7" s="133"/>
      <c r="G7" s="133"/>
    </row>
    <row r="8" spans="1:8" ht="12.75" hidden="1">
      <c r="A8" s="114">
        <v>130</v>
      </c>
      <c r="B8" s="114" t="s">
        <v>225</v>
      </c>
      <c r="C8" s="117"/>
      <c r="E8" s="134"/>
      <c r="F8" s="135"/>
      <c r="G8" s="133"/>
      <c r="H8" s="115" t="s">
        <v>226</v>
      </c>
    </row>
    <row r="9" spans="2:8" ht="12.75" hidden="1">
      <c r="B9" s="136" t="s">
        <v>227</v>
      </c>
      <c r="C9" s="137"/>
      <c r="D9" s="137"/>
      <c r="E9" s="138"/>
      <c r="F9" s="135" t="e">
        <f>E9-#REF!</f>
        <v>#REF!</v>
      </c>
      <c r="G9" s="133"/>
      <c r="H9" s="115" t="s">
        <v>228</v>
      </c>
    </row>
    <row r="10" spans="2:9" ht="12.75" hidden="1">
      <c r="B10" s="136" t="s">
        <v>229</v>
      </c>
      <c r="C10" s="137">
        <v>8760</v>
      </c>
      <c r="D10" s="137">
        <f>C10</f>
        <v>8760</v>
      </c>
      <c r="E10" s="139">
        <v>8760</v>
      </c>
      <c r="F10" s="135"/>
      <c r="G10" s="133"/>
      <c r="I10" s="115" t="s">
        <v>501</v>
      </c>
    </row>
    <row r="11" spans="2:7" ht="12.75" hidden="1">
      <c r="B11" s="136" t="s">
        <v>230</v>
      </c>
      <c r="C11" s="137">
        <v>6897</v>
      </c>
      <c r="D11" s="137"/>
      <c r="E11" s="139">
        <f>15186-1305</f>
        <v>13881</v>
      </c>
      <c r="F11" s="135" t="e">
        <f>E11-#REF!</f>
        <v>#REF!</v>
      </c>
      <c r="G11" s="133">
        <f>E11</f>
        <v>13881</v>
      </c>
    </row>
    <row r="12" spans="2:8" ht="12.75" hidden="1">
      <c r="B12" s="140" t="s">
        <v>231</v>
      </c>
      <c r="C12" s="137">
        <v>0</v>
      </c>
      <c r="D12" s="137"/>
      <c r="E12" s="139">
        <v>0</v>
      </c>
      <c r="F12" s="135" t="e">
        <f>E12-#REF!</f>
        <v>#REF!</v>
      </c>
      <c r="G12" s="133">
        <f>E12</f>
        <v>0</v>
      </c>
      <c r="H12" s="115" t="s">
        <v>232</v>
      </c>
    </row>
    <row r="13" spans="2:8" ht="12.75" hidden="1">
      <c r="B13" s="114"/>
      <c r="C13" s="117"/>
      <c r="E13" s="134"/>
      <c r="F13" s="135"/>
      <c r="G13" s="133"/>
      <c r="H13" s="115" t="s">
        <v>233</v>
      </c>
    </row>
    <row r="14" spans="1:8" ht="12.75" hidden="1">
      <c r="A14" s="114">
        <v>230</v>
      </c>
      <c r="B14" s="141" t="s">
        <v>234</v>
      </c>
      <c r="C14" s="137"/>
      <c r="D14" s="137"/>
      <c r="E14" s="138"/>
      <c r="F14" s="135" t="e">
        <f>E14-#REF!</f>
        <v>#REF!</v>
      </c>
      <c r="G14" s="133"/>
      <c r="H14" s="115" t="s">
        <v>235</v>
      </c>
    </row>
    <row r="15" spans="3:7" ht="12.75" hidden="1">
      <c r="C15" s="117"/>
      <c r="E15" s="134"/>
      <c r="F15" s="135"/>
      <c r="G15" s="133"/>
    </row>
    <row r="16" spans="1:7" ht="12.75" hidden="1">
      <c r="A16" s="114">
        <v>300</v>
      </c>
      <c r="B16" s="114" t="s">
        <v>236</v>
      </c>
      <c r="C16" s="117"/>
      <c r="E16" s="133"/>
      <c r="F16" s="135"/>
      <c r="G16" s="133"/>
    </row>
    <row r="17" spans="2:9" ht="12.75" hidden="1">
      <c r="B17" s="142" t="s">
        <v>237</v>
      </c>
      <c r="C17" s="137">
        <v>115489</v>
      </c>
      <c r="D17" s="137">
        <f>'[2]Profit and Loss (2)'!B7</f>
        <v>98075.53</v>
      </c>
      <c r="E17" s="143">
        <f>'[2]RE Tax Calc'!F20</f>
        <v>115514.7885818182</v>
      </c>
      <c r="F17" s="135" t="e">
        <f>E17-#REF!</f>
        <v>#REF!</v>
      </c>
      <c r="G17" s="133">
        <f>E17</f>
        <v>115514.7885818182</v>
      </c>
      <c r="I17" s="115" t="s">
        <v>502</v>
      </c>
    </row>
    <row r="18" spans="2:7" ht="12.75" hidden="1">
      <c r="B18" s="142" t="s">
        <v>238</v>
      </c>
      <c r="C18" s="137">
        <v>0</v>
      </c>
      <c r="D18" s="137">
        <f>'[2]Profit and Loss (2)'!B37</f>
        <v>-1430.36</v>
      </c>
      <c r="E18" s="144">
        <v>0</v>
      </c>
      <c r="F18" s="135"/>
      <c r="G18" s="133"/>
    </row>
    <row r="19" spans="2:9" ht="12.75" hidden="1">
      <c r="B19" s="142" t="s">
        <v>239</v>
      </c>
      <c r="C19" s="137">
        <v>9058</v>
      </c>
      <c r="D19" s="137">
        <f>'[2]Profit and Loss (2)'!B33</f>
        <v>9169.87</v>
      </c>
      <c r="E19" s="143">
        <f>'[2]RE Tax Calc'!F22</f>
        <v>9059.983418181819</v>
      </c>
      <c r="F19" s="135" t="e">
        <f>E19-#REF!</f>
        <v>#REF!</v>
      </c>
      <c r="G19" s="133">
        <f>E19</f>
        <v>9059.983418181819</v>
      </c>
      <c r="I19" s="115" t="s">
        <v>502</v>
      </c>
    </row>
    <row r="20" spans="2:7" ht="12.75" hidden="1">
      <c r="B20" s="142" t="s">
        <v>240</v>
      </c>
      <c r="C20" s="137">
        <v>0</v>
      </c>
      <c r="D20" s="137">
        <f>'[2]Profit and Loss (2)'!B38</f>
        <v>-124.37</v>
      </c>
      <c r="E20" s="144">
        <v>0</v>
      </c>
      <c r="F20" s="135"/>
      <c r="G20" s="133"/>
    </row>
    <row r="21" spans="2:7" ht="12.75" hidden="1">
      <c r="B21" s="142" t="s">
        <v>11</v>
      </c>
      <c r="C21" s="137"/>
      <c r="D21" s="137">
        <f>'[2]Profit and Loss (2)'!B17+'[2]Profit and Loss (2)'!B18</f>
        <v>176.70999999999998</v>
      </c>
      <c r="E21" s="144"/>
      <c r="F21" s="135"/>
      <c r="G21" s="133"/>
    </row>
    <row r="22" spans="2:7" ht="12.75" hidden="1">
      <c r="B22" s="142" t="s">
        <v>503</v>
      </c>
      <c r="C22" s="137">
        <v>0</v>
      </c>
      <c r="D22" s="137">
        <f>'[2]Profit and Loss (2)'!B8</f>
        <v>1694.87</v>
      </c>
      <c r="E22" s="144">
        <v>0</v>
      </c>
      <c r="F22" s="135" t="e">
        <f>E22-#REF!</f>
        <v>#REF!</v>
      </c>
      <c r="G22" s="133"/>
    </row>
    <row r="23" spans="2:7" ht="12.75" hidden="1">
      <c r="B23" s="142" t="s">
        <v>504</v>
      </c>
      <c r="C23" s="137"/>
      <c r="D23" s="137">
        <f>'[2]Profit and Loss (2)'!B34</f>
        <v>400.2</v>
      </c>
      <c r="E23" s="144"/>
      <c r="F23" s="135"/>
      <c r="G23" s="133"/>
    </row>
    <row r="24" spans="2:7" ht="12.75" hidden="1">
      <c r="B24" s="142" t="s">
        <v>7</v>
      </c>
      <c r="C24" s="137">
        <v>0</v>
      </c>
      <c r="D24" s="137"/>
      <c r="E24" s="144">
        <v>0</v>
      </c>
      <c r="F24" s="135" t="e">
        <f>E24-#REF!</f>
        <v>#REF!</v>
      </c>
      <c r="G24" s="133"/>
    </row>
    <row r="25" spans="2:7" ht="12.75" hidden="1">
      <c r="B25" s="142" t="s">
        <v>18</v>
      </c>
      <c r="C25" s="137">
        <v>7500</v>
      </c>
      <c r="D25" s="137">
        <f>'[2]Profit and Loss (2)'!B9</f>
        <v>9078.8</v>
      </c>
      <c r="E25" s="137">
        <v>7500</v>
      </c>
      <c r="F25" s="135"/>
      <c r="G25" s="133"/>
    </row>
    <row r="26" spans="2:7" ht="12.75" hidden="1">
      <c r="B26" s="142" t="s">
        <v>505</v>
      </c>
      <c r="C26" s="137">
        <v>0</v>
      </c>
      <c r="D26" s="137">
        <f>'[2]Profit and Loss (2)'!B45</f>
        <v>808.51</v>
      </c>
      <c r="E26" s="137">
        <v>500</v>
      </c>
      <c r="F26" s="135" t="e">
        <f>E26-#REF!</f>
        <v>#REF!</v>
      </c>
      <c r="G26" s="133">
        <f>E26</f>
        <v>500</v>
      </c>
    </row>
    <row r="27" spans="2:7" ht="12.75" hidden="1">
      <c r="B27" s="115" t="s">
        <v>241</v>
      </c>
      <c r="C27" s="117"/>
      <c r="E27" s="117"/>
      <c r="F27" s="135" t="e">
        <f>E27-#REF!</f>
        <v>#REF!</v>
      </c>
      <c r="G27" s="133"/>
    </row>
    <row r="28" spans="2:7" ht="12.75" hidden="1">
      <c r="B28" s="115" t="s">
        <v>11</v>
      </c>
      <c r="C28" s="117"/>
      <c r="E28" s="117"/>
      <c r="F28" s="135" t="e">
        <f>E28-#REF!</f>
        <v>#REF!</v>
      </c>
      <c r="G28" s="133"/>
    </row>
    <row r="29" spans="3:7" ht="12.75" hidden="1">
      <c r="C29" s="117"/>
      <c r="E29" s="117"/>
      <c r="F29" s="135"/>
      <c r="G29" s="133"/>
    </row>
    <row r="30" spans="1:7" ht="12.75" hidden="1">
      <c r="A30" s="114">
        <v>305</v>
      </c>
      <c r="B30" s="114" t="s">
        <v>242</v>
      </c>
      <c r="C30" s="117"/>
      <c r="E30" s="117"/>
      <c r="F30" s="135"/>
      <c r="G30" s="133"/>
    </row>
    <row r="31" spans="2:7" ht="12.75" hidden="1">
      <c r="B31" s="142" t="s">
        <v>243</v>
      </c>
      <c r="C31" s="137">
        <v>600</v>
      </c>
      <c r="D31" s="137">
        <f>'[2]Profit and Loss (2)'!B10</f>
        <v>540</v>
      </c>
      <c r="E31" s="137">
        <v>600</v>
      </c>
      <c r="F31" s="135" t="e">
        <f>E31-#REF!</f>
        <v>#REF!</v>
      </c>
      <c r="G31" s="133">
        <f>E31</f>
        <v>600</v>
      </c>
    </row>
    <row r="32" spans="2:7" ht="12.75" hidden="1">
      <c r="B32" s="142" t="s">
        <v>244</v>
      </c>
      <c r="C32" s="137"/>
      <c r="D32" s="137">
        <f>'[2]Profit and Loss (2)'!B39</f>
        <v>1.3</v>
      </c>
      <c r="E32" s="144"/>
      <c r="F32" s="135"/>
      <c r="G32" s="133"/>
    </row>
    <row r="33" spans="2:7" ht="12.75" hidden="1">
      <c r="B33" s="142" t="s">
        <v>506</v>
      </c>
      <c r="C33" s="137">
        <f>'[2]Profit and Loss (2)'!B19</f>
        <v>2</v>
      </c>
      <c r="D33" s="137"/>
      <c r="E33" s="144"/>
      <c r="F33" s="135"/>
      <c r="G33" s="133"/>
    </row>
    <row r="34" spans="2:7" ht="12.75" hidden="1">
      <c r="B34" s="142" t="s">
        <v>507</v>
      </c>
      <c r="C34" s="137"/>
      <c r="D34" s="137">
        <f>'[2]Profit and Loss (2)'!B42</f>
        <v>280.5</v>
      </c>
      <c r="E34" s="144"/>
      <c r="F34" s="135"/>
      <c r="G34" s="133"/>
    </row>
    <row r="35" spans="2:7" ht="12.75" hidden="1">
      <c r="B35" s="142" t="s">
        <v>245</v>
      </c>
      <c r="C35" s="137">
        <v>0</v>
      </c>
      <c r="D35" s="137">
        <f>'[2]Profit and Loss (2)'!B11</f>
        <v>20</v>
      </c>
      <c r="E35" s="144">
        <v>0</v>
      </c>
      <c r="F35" s="135" t="e">
        <f>E35-#REF!</f>
        <v>#REF!</v>
      </c>
      <c r="G35" s="133"/>
    </row>
    <row r="36" spans="3:7" ht="12.75" hidden="1">
      <c r="C36" s="117"/>
      <c r="E36" s="117"/>
      <c r="F36" s="135"/>
      <c r="G36" s="133"/>
    </row>
    <row r="37" spans="3:7" ht="12.75" hidden="1">
      <c r="C37" s="117"/>
      <c r="E37" s="117"/>
      <c r="F37" s="135"/>
      <c r="G37" s="133"/>
    </row>
    <row r="38" spans="1:7" ht="12.75" hidden="1">
      <c r="A38" s="114">
        <v>310</v>
      </c>
      <c r="B38" s="114" t="s">
        <v>246</v>
      </c>
      <c r="C38" s="117"/>
      <c r="E38" s="117"/>
      <c r="F38" s="135"/>
      <c r="G38" s="133"/>
    </row>
    <row r="39" spans="2:7" ht="12.75" hidden="1">
      <c r="B39" s="142" t="s">
        <v>26</v>
      </c>
      <c r="C39" s="137">
        <v>1000</v>
      </c>
      <c r="D39" s="137">
        <f>'[2]Profit and Loss (2)'!B12</f>
        <v>880</v>
      </c>
      <c r="E39" s="137">
        <v>1000</v>
      </c>
      <c r="F39" s="135" t="e">
        <f>E39-#REF!</f>
        <v>#REF!</v>
      </c>
      <c r="G39" s="133">
        <f aca="true" t="shared" si="0" ref="G39:G49">E39</f>
        <v>1000</v>
      </c>
    </row>
    <row r="40" spans="2:7" ht="12.75" hidden="1">
      <c r="B40" s="142" t="s">
        <v>247</v>
      </c>
      <c r="C40" s="137">
        <v>0</v>
      </c>
      <c r="D40" s="137"/>
      <c r="E40" s="137">
        <v>0</v>
      </c>
      <c r="F40" s="135" t="e">
        <f>E40-#REF!</f>
        <v>#REF!</v>
      </c>
      <c r="G40" s="133">
        <f t="shared" si="0"/>
        <v>0</v>
      </c>
    </row>
    <row r="41" spans="2:7" ht="12.75" hidden="1">
      <c r="B41" s="142" t="s">
        <v>248</v>
      </c>
      <c r="C41" s="137"/>
      <c r="D41" s="137">
        <f>'[2]Profit and Loss (2)'!B40</f>
        <v>-15.6</v>
      </c>
      <c r="E41" s="144"/>
      <c r="F41" s="135"/>
      <c r="G41" s="133"/>
    </row>
    <row r="42" spans="2:7" ht="12.75" hidden="1">
      <c r="B42" s="142" t="s">
        <v>249</v>
      </c>
      <c r="C42" s="137">
        <v>100</v>
      </c>
      <c r="D42" s="137">
        <f>'[2]Profit and Loss (2)'!B44</f>
        <v>284.8</v>
      </c>
      <c r="E42" s="137">
        <v>100</v>
      </c>
      <c r="F42" s="135" t="e">
        <f>E42-#REF!</f>
        <v>#REF!</v>
      </c>
      <c r="G42" s="133">
        <f t="shared" si="0"/>
        <v>100</v>
      </c>
    </row>
    <row r="43" spans="2:7" ht="12.75" hidden="1">
      <c r="B43" s="142" t="s">
        <v>250</v>
      </c>
      <c r="C43" s="137">
        <v>0</v>
      </c>
      <c r="D43" s="137"/>
      <c r="E43" s="137">
        <v>0</v>
      </c>
      <c r="F43" s="135" t="e">
        <f>E43-#REF!</f>
        <v>#REF!</v>
      </c>
      <c r="G43" s="133">
        <f t="shared" si="0"/>
        <v>0</v>
      </c>
    </row>
    <row r="44" spans="2:7" ht="12.75" hidden="1">
      <c r="B44" s="142" t="s">
        <v>247</v>
      </c>
      <c r="C44" s="137"/>
      <c r="D44" s="137">
        <f>'[2]Profit and Loss (2)'!B13</f>
        <v>35</v>
      </c>
      <c r="E44" s="137"/>
      <c r="F44" s="135"/>
      <c r="G44" s="133"/>
    </row>
    <row r="45" spans="2:7" ht="12.75" hidden="1">
      <c r="B45" s="142" t="s">
        <v>508</v>
      </c>
      <c r="C45" s="137"/>
      <c r="D45" s="137">
        <f>'[2]Profit and Loss (2)'!B20</f>
        <v>3.5</v>
      </c>
      <c r="E45" s="137"/>
      <c r="F45" s="135"/>
      <c r="G45" s="133"/>
    </row>
    <row r="46" spans="2:7" ht="12.75" hidden="1">
      <c r="B46" s="142" t="s">
        <v>31</v>
      </c>
      <c r="C46" s="137">
        <v>1000</v>
      </c>
      <c r="D46" s="137">
        <f>'[2]Profit and Loss (2)'!B14</f>
        <v>11677.68</v>
      </c>
      <c r="E46" s="137">
        <v>1000</v>
      </c>
      <c r="F46" s="135" t="e">
        <f>E46-#REF!</f>
        <v>#REF!</v>
      </c>
      <c r="G46" s="133">
        <f t="shared" si="0"/>
        <v>1000</v>
      </c>
    </row>
    <row r="47" spans="2:7" ht="12.75" hidden="1">
      <c r="B47" s="142" t="s">
        <v>251</v>
      </c>
      <c r="C47" s="137">
        <v>30000</v>
      </c>
      <c r="D47" s="137">
        <f>'[2]Profit and Loss (2)'!B15</f>
        <v>29724.05</v>
      </c>
      <c r="E47" s="137">
        <v>30000</v>
      </c>
      <c r="F47" s="135" t="e">
        <f>E47-#REF!</f>
        <v>#REF!</v>
      </c>
      <c r="G47" s="133">
        <f t="shared" si="0"/>
        <v>30000</v>
      </c>
    </row>
    <row r="48" spans="2:7" ht="12.75" hidden="1">
      <c r="B48" s="142" t="s">
        <v>252</v>
      </c>
      <c r="C48" s="137">
        <v>0</v>
      </c>
      <c r="D48" s="137"/>
      <c r="E48" s="137">
        <v>0</v>
      </c>
      <c r="F48" s="135" t="e">
        <f>E48-#REF!</f>
        <v>#REF!</v>
      </c>
      <c r="G48" s="133">
        <f t="shared" si="0"/>
        <v>0</v>
      </c>
    </row>
    <row r="49" spans="2:7" ht="12.75" hidden="1">
      <c r="B49" s="142" t="s">
        <v>253</v>
      </c>
      <c r="C49" s="137">
        <v>1000</v>
      </c>
      <c r="D49" s="137">
        <f>'[2]Profit and Loss (2)'!B16</f>
        <v>1420.8</v>
      </c>
      <c r="E49" s="137">
        <v>1000</v>
      </c>
      <c r="F49" s="135" t="e">
        <f>E49-#REF!</f>
        <v>#REF!</v>
      </c>
      <c r="G49" s="133">
        <f t="shared" si="0"/>
        <v>1000</v>
      </c>
    </row>
    <row r="50" spans="3:7" ht="12.75" hidden="1">
      <c r="C50" s="117"/>
      <c r="E50" s="117"/>
      <c r="F50" s="135"/>
      <c r="G50" s="133"/>
    </row>
    <row r="51" spans="1:7" ht="12.75" hidden="1">
      <c r="A51" s="114">
        <v>321</v>
      </c>
      <c r="B51" s="114" t="s">
        <v>254</v>
      </c>
      <c r="C51" s="117"/>
      <c r="E51" s="117"/>
      <c r="F51" s="135" t="e">
        <f>E51-#REF!</f>
        <v>#REF!</v>
      </c>
      <c r="G51" s="133"/>
    </row>
    <row r="52" spans="3:7" ht="12.75" hidden="1">
      <c r="C52" s="117"/>
      <c r="E52" s="117"/>
      <c r="F52" s="135"/>
      <c r="G52" s="133"/>
    </row>
    <row r="53" spans="1:7" ht="12.75" hidden="1">
      <c r="A53" s="114">
        <v>331</v>
      </c>
      <c r="B53" s="114" t="s">
        <v>255</v>
      </c>
      <c r="C53" s="117"/>
      <c r="E53" s="117"/>
      <c r="F53" s="135"/>
      <c r="G53" s="133"/>
    </row>
    <row r="54" spans="2:7" ht="12.75" hidden="1">
      <c r="B54" s="142" t="s">
        <v>256</v>
      </c>
      <c r="C54" s="137">
        <v>0</v>
      </c>
      <c r="D54" s="137"/>
      <c r="E54" s="144">
        <v>0</v>
      </c>
      <c r="F54" s="135" t="e">
        <f>E54-#REF!</f>
        <v>#REF!</v>
      </c>
      <c r="G54" s="133">
        <f>E54</f>
        <v>0</v>
      </c>
    </row>
    <row r="55" spans="2:7" ht="12.75" hidden="1">
      <c r="B55" s="136" t="s">
        <v>257</v>
      </c>
      <c r="C55" s="137">
        <v>0</v>
      </c>
      <c r="D55" s="137"/>
      <c r="E55" s="144">
        <v>0</v>
      </c>
      <c r="F55" s="135" t="e">
        <f>E55-#REF!</f>
        <v>#REF!</v>
      </c>
      <c r="G55" s="133">
        <f>E55</f>
        <v>0</v>
      </c>
    </row>
    <row r="56" spans="2:7" ht="12.75" hidden="1">
      <c r="B56" s="142" t="s">
        <v>36</v>
      </c>
      <c r="C56" s="137">
        <v>200</v>
      </c>
      <c r="D56" s="137">
        <f>'[2]Profit and Loss (2)'!B22</f>
        <v>144.57</v>
      </c>
      <c r="E56" s="137">
        <v>200</v>
      </c>
      <c r="F56" s="135" t="e">
        <f>E56-#REF!</f>
        <v>#REF!</v>
      </c>
      <c r="G56" s="133">
        <f>E56</f>
        <v>200</v>
      </c>
    </row>
    <row r="57" spans="3:7" ht="12.75" hidden="1">
      <c r="C57" s="117"/>
      <c r="E57" s="117"/>
      <c r="F57" s="135"/>
      <c r="G57" s="133"/>
    </row>
    <row r="58" spans="1:7" ht="12.75" hidden="1">
      <c r="A58" s="114">
        <v>341</v>
      </c>
      <c r="B58" s="141" t="s">
        <v>38</v>
      </c>
      <c r="C58" s="137">
        <v>30</v>
      </c>
      <c r="D58" s="137">
        <f>'[2]Profit and Loss (2)'!B23</f>
        <v>96.25</v>
      </c>
      <c r="E58" s="137">
        <v>30</v>
      </c>
      <c r="F58" s="135" t="e">
        <f>E58-#REF!</f>
        <v>#REF!</v>
      </c>
      <c r="G58" s="133">
        <f>E58</f>
        <v>30</v>
      </c>
    </row>
    <row r="59" spans="2:7" ht="12.75" hidden="1">
      <c r="B59" s="114"/>
      <c r="C59" s="117"/>
      <c r="E59" s="117"/>
      <c r="F59" s="135"/>
      <c r="G59" s="133"/>
    </row>
    <row r="60" spans="1:7" ht="12.75" hidden="1">
      <c r="A60" s="114">
        <v>342</v>
      </c>
      <c r="B60" s="141" t="s">
        <v>258</v>
      </c>
      <c r="C60" s="137">
        <v>12</v>
      </c>
      <c r="D60" s="137">
        <f>'[2]Profit and Loss (2)'!B26</f>
        <v>12</v>
      </c>
      <c r="E60" s="137">
        <v>12</v>
      </c>
      <c r="F60" s="135" t="e">
        <f>E60-#REF!</f>
        <v>#REF!</v>
      </c>
      <c r="G60" s="133">
        <f>E60</f>
        <v>12</v>
      </c>
    </row>
    <row r="61" spans="3:7" ht="12.75" hidden="1">
      <c r="C61" s="117"/>
      <c r="E61" s="117"/>
      <c r="F61" s="135"/>
      <c r="G61" s="133"/>
    </row>
    <row r="62" spans="1:7" ht="12.75" hidden="1">
      <c r="A62" s="114">
        <v>355</v>
      </c>
      <c r="B62" s="114" t="s">
        <v>259</v>
      </c>
      <c r="C62" s="117"/>
      <c r="E62" s="117"/>
      <c r="F62" s="135"/>
      <c r="G62" s="133"/>
    </row>
    <row r="63" spans="2:7" ht="12.75" hidden="1">
      <c r="B63" s="142" t="s">
        <v>40</v>
      </c>
      <c r="C63" s="137">
        <v>200</v>
      </c>
      <c r="D63" s="137">
        <f>'[2]Profit and Loss (2)'!B27</f>
        <v>201.36</v>
      </c>
      <c r="E63" s="137">
        <v>200</v>
      </c>
      <c r="F63" s="135" t="e">
        <f>E63-#REF!</f>
        <v>#REF!</v>
      </c>
      <c r="G63" s="133">
        <f>E63</f>
        <v>200</v>
      </c>
    </row>
    <row r="64" spans="2:7" ht="12.75" hidden="1">
      <c r="B64" s="136" t="s">
        <v>260</v>
      </c>
      <c r="C64" s="137">
        <v>150</v>
      </c>
      <c r="D64" s="137">
        <f>'[2]Profit and Loss (2)'!B28-150</f>
        <v>150</v>
      </c>
      <c r="E64" s="137">
        <v>150</v>
      </c>
      <c r="F64" s="135" t="e">
        <f>E64-#REF!</f>
        <v>#REF!</v>
      </c>
      <c r="G64" s="133">
        <f>E64</f>
        <v>150</v>
      </c>
    </row>
    <row r="65" spans="3:7" ht="12.75" hidden="1">
      <c r="C65" s="117"/>
      <c r="E65" s="117"/>
      <c r="F65" s="135"/>
      <c r="G65" s="133"/>
    </row>
    <row r="66" spans="1:7" ht="12.75" hidden="1">
      <c r="A66" s="114">
        <v>361</v>
      </c>
      <c r="B66" s="114" t="s">
        <v>261</v>
      </c>
      <c r="C66" s="117"/>
      <c r="E66" s="117"/>
      <c r="F66" s="135"/>
      <c r="G66" s="133"/>
    </row>
    <row r="67" spans="2:7" ht="12.75" hidden="1">
      <c r="B67" s="142" t="s">
        <v>262</v>
      </c>
      <c r="C67" s="137">
        <v>250</v>
      </c>
      <c r="D67" s="137">
        <f>'[2]Profit and Loss (2)'!B30</f>
        <v>1126</v>
      </c>
      <c r="E67" s="137">
        <v>250</v>
      </c>
      <c r="F67" s="135" t="e">
        <f>E67-#REF!</f>
        <v>#REF!</v>
      </c>
      <c r="G67" s="133">
        <f aca="true" t="shared" si="1" ref="G67:G74">E67</f>
        <v>250</v>
      </c>
    </row>
    <row r="68" spans="2:7" ht="12.75" hidden="1">
      <c r="B68" s="142" t="s">
        <v>263</v>
      </c>
      <c r="C68" s="137">
        <v>0</v>
      </c>
      <c r="D68" s="137"/>
      <c r="E68" s="137">
        <v>0</v>
      </c>
      <c r="F68" s="135"/>
      <c r="G68" s="133">
        <f t="shared" si="1"/>
        <v>0</v>
      </c>
    </row>
    <row r="69" spans="2:7" ht="12.75" hidden="1">
      <c r="B69" s="142" t="s">
        <v>264</v>
      </c>
      <c r="C69" s="137">
        <v>0</v>
      </c>
      <c r="D69" s="137"/>
      <c r="E69" s="137">
        <v>0</v>
      </c>
      <c r="F69" s="135" t="e">
        <f>E69-#REF!</f>
        <v>#REF!</v>
      </c>
      <c r="G69" s="133">
        <f t="shared" si="1"/>
        <v>0</v>
      </c>
    </row>
    <row r="70" spans="2:7" ht="12.75" hidden="1">
      <c r="B70" s="142" t="s">
        <v>265</v>
      </c>
      <c r="C70" s="144">
        <v>0</v>
      </c>
      <c r="D70" s="137"/>
      <c r="E70" s="144">
        <v>0</v>
      </c>
      <c r="F70" s="135" t="e">
        <f>E70-#REF!</f>
        <v>#REF!</v>
      </c>
      <c r="G70" s="133">
        <f t="shared" si="1"/>
        <v>0</v>
      </c>
    </row>
    <row r="71" spans="2:7" ht="12.75" hidden="1">
      <c r="B71" s="142" t="s">
        <v>46</v>
      </c>
      <c r="C71" s="144">
        <v>0</v>
      </c>
      <c r="D71" s="137"/>
      <c r="E71" s="144">
        <v>0</v>
      </c>
      <c r="F71" s="135" t="e">
        <f>E71-#REF!</f>
        <v>#REF!</v>
      </c>
      <c r="G71" s="133">
        <f t="shared" si="1"/>
        <v>0</v>
      </c>
    </row>
    <row r="72" spans="2:7" ht="12.75" hidden="1">
      <c r="B72" s="142" t="s">
        <v>266</v>
      </c>
      <c r="C72" s="137">
        <v>250</v>
      </c>
      <c r="D72" s="137">
        <v>0</v>
      </c>
      <c r="E72" s="137">
        <v>250</v>
      </c>
      <c r="F72" s="135"/>
      <c r="G72" s="133">
        <f t="shared" si="1"/>
        <v>250</v>
      </c>
    </row>
    <row r="73" spans="2:7" ht="12.75" hidden="1">
      <c r="B73" s="142" t="s">
        <v>263</v>
      </c>
      <c r="C73" s="137">
        <v>250</v>
      </c>
      <c r="D73" s="137">
        <f>'[2]Profit and Loss (2)'!B31</f>
        <v>900</v>
      </c>
      <c r="E73" s="137">
        <v>250</v>
      </c>
      <c r="F73" s="135"/>
      <c r="G73" s="133">
        <f t="shared" si="1"/>
        <v>250</v>
      </c>
    </row>
    <row r="74" spans="2:7" ht="12.75" hidden="1">
      <c r="B74" s="142" t="s">
        <v>267</v>
      </c>
      <c r="C74" s="137">
        <v>0</v>
      </c>
      <c r="D74" s="137">
        <f>'[2]Profit and Loss (2)'!B21</f>
        <v>5</v>
      </c>
      <c r="E74" s="137">
        <v>0</v>
      </c>
      <c r="F74" s="135" t="e">
        <f>E74-#REF!</f>
        <v>#REF!</v>
      </c>
      <c r="G74" s="133">
        <f t="shared" si="1"/>
        <v>0</v>
      </c>
    </row>
    <row r="75" spans="3:7" ht="12.75" hidden="1">
      <c r="C75" s="117"/>
      <c r="E75" s="117"/>
      <c r="F75" s="135"/>
      <c r="G75" s="133"/>
    </row>
    <row r="76" spans="1:7" ht="12.75" hidden="1">
      <c r="A76" s="114">
        <v>364</v>
      </c>
      <c r="B76" s="114" t="s">
        <v>268</v>
      </c>
      <c r="C76" s="117"/>
      <c r="E76" s="117"/>
      <c r="F76" s="135"/>
      <c r="G76" s="133"/>
    </row>
    <row r="77" spans="2:9" ht="12.75" hidden="1">
      <c r="B77" s="136" t="s">
        <v>269</v>
      </c>
      <c r="C77" s="137">
        <v>45000</v>
      </c>
      <c r="D77" s="137">
        <f>'[2]Profit and Loss (2)'!B35+'[2]Profit and Loss (2)'!B43</f>
        <v>37047.96</v>
      </c>
      <c r="E77" s="143">
        <f>225*200</f>
        <v>45000</v>
      </c>
      <c r="F77" s="135" t="e">
        <f>E77-#REF!</f>
        <v>#REF!</v>
      </c>
      <c r="G77" s="133">
        <f>E77</f>
        <v>45000</v>
      </c>
      <c r="I77" s="145"/>
    </row>
    <row r="78" spans="2:7" ht="12.75" hidden="1">
      <c r="B78" s="136" t="s">
        <v>270</v>
      </c>
      <c r="C78" s="137">
        <v>1000</v>
      </c>
      <c r="D78" s="137">
        <f>'[2]Profit and Loss (2)'!B36</f>
        <v>3209.1</v>
      </c>
      <c r="E78" s="146">
        <v>1000</v>
      </c>
      <c r="F78" s="135" t="e">
        <f>E78-#REF!</f>
        <v>#REF!</v>
      </c>
      <c r="G78" s="133">
        <f>E78</f>
        <v>1000</v>
      </c>
    </row>
    <row r="79" spans="3:7" ht="12.75" hidden="1">
      <c r="C79" s="117"/>
      <c r="E79" s="117"/>
      <c r="F79" s="135"/>
      <c r="G79" s="133"/>
    </row>
    <row r="80" spans="1:7" ht="12.75" hidden="1">
      <c r="A80" s="114">
        <v>387</v>
      </c>
      <c r="B80" s="114" t="s">
        <v>271</v>
      </c>
      <c r="C80" s="117"/>
      <c r="E80" s="117"/>
      <c r="F80" s="135"/>
      <c r="G80" s="133"/>
    </row>
    <row r="81" spans="2:7" ht="12.75" hidden="1">
      <c r="B81" s="142" t="s">
        <v>272</v>
      </c>
      <c r="C81" s="137">
        <v>100</v>
      </c>
      <c r="D81" s="137">
        <f>'[2]Profit and Loss (2)'!B32</f>
        <v>200</v>
      </c>
      <c r="E81" s="137">
        <v>100</v>
      </c>
      <c r="F81" s="135"/>
      <c r="G81" s="133"/>
    </row>
    <row r="82" spans="3:7" ht="12.75" hidden="1">
      <c r="C82" s="117"/>
      <c r="E82" s="117"/>
      <c r="F82" s="135"/>
      <c r="G82" s="133"/>
    </row>
    <row r="83" spans="1:7" ht="12.75" hidden="1">
      <c r="A83" s="114">
        <v>389</v>
      </c>
      <c r="B83" s="114" t="s">
        <v>50</v>
      </c>
      <c r="C83" s="117"/>
      <c r="E83" s="117"/>
      <c r="F83" s="135"/>
      <c r="G83" s="133"/>
    </row>
    <row r="84" spans="2:7" ht="12.75" hidden="1">
      <c r="B84" s="142" t="s">
        <v>273</v>
      </c>
      <c r="C84" s="137">
        <v>150</v>
      </c>
      <c r="D84" s="137">
        <f>'[2]Profit and Loss (2)'!B43</f>
        <v>478.18</v>
      </c>
      <c r="E84" s="137">
        <v>150</v>
      </c>
      <c r="F84" s="135" t="e">
        <f>E84-#REF!</f>
        <v>#REF!</v>
      </c>
      <c r="G84" s="133">
        <f>E84</f>
        <v>150</v>
      </c>
    </row>
    <row r="85" spans="2:7" ht="12.75" hidden="1">
      <c r="B85" s="142" t="s">
        <v>274</v>
      </c>
      <c r="C85" s="137"/>
      <c r="D85" s="137"/>
      <c r="E85" s="144"/>
      <c r="F85" s="135" t="e">
        <f>E85-#REF!</f>
        <v>#REF!</v>
      </c>
      <c r="G85" s="133">
        <f>E85</f>
        <v>0</v>
      </c>
    </row>
    <row r="86" spans="2:7" ht="12.75" hidden="1">
      <c r="B86" s="142" t="s">
        <v>275</v>
      </c>
      <c r="C86" s="137"/>
      <c r="D86" s="137"/>
      <c r="E86" s="144"/>
      <c r="F86" s="135" t="e">
        <f>E86-#REF!</f>
        <v>#REF!</v>
      </c>
      <c r="G86" s="133">
        <f>E86</f>
        <v>0</v>
      </c>
    </row>
    <row r="87" spans="3:7" ht="12.75" hidden="1">
      <c r="C87" s="117"/>
      <c r="E87" s="117"/>
      <c r="F87" s="135"/>
      <c r="G87" s="133"/>
    </row>
    <row r="88" spans="1:7" ht="12.75" hidden="1">
      <c r="A88" s="114">
        <v>395</v>
      </c>
      <c r="B88" s="141" t="s">
        <v>276</v>
      </c>
      <c r="C88" s="137"/>
      <c r="D88" s="137"/>
      <c r="E88" s="137"/>
      <c r="F88" s="135" t="e">
        <f>E88-#REF!</f>
        <v>#REF!</v>
      </c>
      <c r="G88" s="133">
        <f>E88</f>
        <v>0</v>
      </c>
    </row>
    <row r="89" spans="3:7" ht="12.75" hidden="1">
      <c r="C89" s="117"/>
      <c r="E89" s="117"/>
      <c r="F89" s="135"/>
      <c r="G89" s="133"/>
    </row>
    <row r="90" spans="1:8" ht="12.75" hidden="1">
      <c r="A90" s="114">
        <v>355</v>
      </c>
      <c r="B90" s="114" t="s">
        <v>277</v>
      </c>
      <c r="C90" s="117"/>
      <c r="E90" s="117"/>
      <c r="F90" s="135"/>
      <c r="G90" s="133"/>
      <c r="H90" s="147"/>
    </row>
    <row r="91" spans="2:9" ht="12.75" hidden="1">
      <c r="B91" s="142" t="s">
        <v>278</v>
      </c>
      <c r="C91" s="137">
        <v>21489</v>
      </c>
      <c r="D91" s="137">
        <f>'[2]Profit and Loss (2)'!B41</f>
        <v>22054.15</v>
      </c>
      <c r="E91" s="143">
        <v>22594.16</v>
      </c>
      <c r="F91" s="135" t="e">
        <f>E91-#REF!</f>
        <v>#REF!</v>
      </c>
      <c r="G91" s="133">
        <f>E91</f>
        <v>22594.16</v>
      </c>
      <c r="I91" s="148" t="s">
        <v>502</v>
      </c>
    </row>
    <row r="92" spans="2:7" ht="12.75" hidden="1">
      <c r="B92" s="142" t="s">
        <v>52</v>
      </c>
      <c r="C92" s="137">
        <v>3</v>
      </c>
      <c r="D92" s="137">
        <f>'[2]Profit and Loss (2)'!B24</f>
        <v>59.48</v>
      </c>
      <c r="E92" s="146">
        <v>25</v>
      </c>
      <c r="F92" s="135" t="e">
        <f>E92-#REF!</f>
        <v>#REF!</v>
      </c>
      <c r="G92" s="133">
        <f>E92</f>
        <v>25</v>
      </c>
    </row>
    <row r="93" spans="2:9" ht="12.75" hidden="1">
      <c r="B93" s="136" t="s">
        <v>279</v>
      </c>
      <c r="C93" s="137">
        <v>2745</v>
      </c>
      <c r="D93" s="137">
        <f>'[2]Profit and Loss (2)'!B29</f>
        <v>2734.8</v>
      </c>
      <c r="E93" s="146">
        <v>2735</v>
      </c>
      <c r="F93" s="135" t="e">
        <f>E93-#REF!</f>
        <v>#REF!</v>
      </c>
      <c r="G93" s="133">
        <f>E93</f>
        <v>2735</v>
      </c>
      <c r="I93" s="115" t="s">
        <v>509</v>
      </c>
    </row>
    <row r="94" spans="3:7" ht="12.75" hidden="1">
      <c r="C94" s="149"/>
      <c r="D94" s="149"/>
      <c r="E94" s="150"/>
      <c r="F94" s="151"/>
      <c r="G94" s="150"/>
    </row>
    <row r="95" spans="2:9" ht="12.75" hidden="1">
      <c r="B95" s="152" t="s">
        <v>280</v>
      </c>
      <c r="C95" s="153">
        <f>SUM(C8:C93)</f>
        <v>253235</v>
      </c>
      <c r="D95" s="154">
        <f>SUM(D8:D93)</f>
        <v>239880.63999999996</v>
      </c>
      <c r="E95" s="151">
        <f>SUM(E77:E93)+SUM(E9:E74)</f>
        <v>261861.93200000003</v>
      </c>
      <c r="F95" s="155" t="e">
        <f>SUM(F8:F94)</f>
        <v>#REF!</v>
      </c>
      <c r="G95" s="150">
        <f>SUM(G8:G93)</f>
        <v>245501.93200000003</v>
      </c>
      <c r="H95" s="147"/>
      <c r="I95" s="156">
        <f>C95-E95</f>
        <v>-8626.93200000003</v>
      </c>
    </row>
    <row r="96" spans="2:7" ht="12.75" hidden="1">
      <c r="B96" s="152" t="s">
        <v>281</v>
      </c>
      <c r="C96" s="157">
        <f>SUM(C91+C92+C93+C77+C78)</f>
        <v>70237</v>
      </c>
      <c r="D96" s="157">
        <f>SUM(D91+D92+D93+D77+D78)</f>
        <v>65105.49</v>
      </c>
      <c r="E96" s="157">
        <f>SUM(E91+E92+E10)</f>
        <v>31379.16</v>
      </c>
      <c r="F96" s="158" t="e">
        <f>F91++F92+F93+F86+F12</f>
        <v>#REF!</v>
      </c>
      <c r="G96" s="159">
        <f>G91++G92+G93+G86+G12</f>
        <v>25354.16</v>
      </c>
    </row>
    <row r="97" spans="2:7" ht="12.75" hidden="1">
      <c r="B97" s="152" t="s">
        <v>510</v>
      </c>
      <c r="C97" s="157"/>
      <c r="D97" s="157"/>
      <c r="E97" s="157">
        <f>E93</f>
        <v>2735</v>
      </c>
      <c r="F97" s="158"/>
      <c r="G97" s="159"/>
    </row>
    <row r="98" spans="2:7" ht="12.75" hidden="1">
      <c r="B98" s="152" t="s">
        <v>511</v>
      </c>
      <c r="C98" s="157"/>
      <c r="D98" s="157"/>
      <c r="E98" s="157">
        <f>E77+E78</f>
        <v>46000</v>
      </c>
      <c r="F98" s="158"/>
      <c r="G98" s="159"/>
    </row>
    <row r="99" spans="2:9" ht="12.75" hidden="1">
      <c r="B99" s="152" t="s">
        <v>282</v>
      </c>
      <c r="C99" s="160">
        <f>C95-C96</f>
        <v>182998</v>
      </c>
      <c r="D99" s="160">
        <f>D95-D96</f>
        <v>174775.14999999997</v>
      </c>
      <c r="E99" s="161">
        <f>E95-E96-E98-E97</f>
        <v>181747.77200000003</v>
      </c>
      <c r="F99" s="158" t="e">
        <f>F95-F96</f>
        <v>#REF!</v>
      </c>
      <c r="G99" s="159">
        <f>G95-G96</f>
        <v>220147.77200000003</v>
      </c>
      <c r="I99" s="145"/>
    </row>
    <row r="100" spans="2:7" ht="12.75" hidden="1">
      <c r="B100" s="152"/>
      <c r="C100" s="162"/>
      <c r="D100" s="162"/>
      <c r="E100" s="163"/>
      <c r="F100" s="163"/>
      <c r="G100" s="164"/>
    </row>
    <row r="101" spans="2:7" ht="13.5" hidden="1" thickBot="1">
      <c r="B101" s="156"/>
      <c r="C101" s="133"/>
      <c r="E101" s="133"/>
      <c r="F101" s="133"/>
      <c r="G101" s="133"/>
    </row>
    <row r="102" spans="1:7" ht="12.75" hidden="1">
      <c r="A102" s="213" t="s">
        <v>512</v>
      </c>
      <c r="B102" s="214"/>
      <c r="C102" s="214"/>
      <c r="D102" s="214"/>
      <c r="E102" s="214"/>
      <c r="F102" s="214"/>
      <c r="G102" s="215"/>
    </row>
    <row r="103" spans="1:7" ht="13.5" hidden="1" thickBot="1">
      <c r="A103" s="216"/>
      <c r="B103" s="217"/>
      <c r="C103" s="217"/>
      <c r="D103" s="217"/>
      <c r="E103" s="217"/>
      <c r="F103" s="217"/>
      <c r="G103" s="218"/>
    </row>
    <row r="104" spans="1:7" ht="13.5" hidden="1">
      <c r="A104" s="118"/>
      <c r="B104" s="119"/>
      <c r="C104" s="120">
        <v>2016</v>
      </c>
      <c r="D104" s="121" t="s">
        <v>156</v>
      </c>
      <c r="E104" s="120">
        <f>E4</f>
        <v>2017</v>
      </c>
      <c r="F104" s="122" t="s">
        <v>214</v>
      </c>
      <c r="G104" s="123">
        <v>2013</v>
      </c>
    </row>
    <row r="105" spans="1:7" ht="13.5" hidden="1">
      <c r="A105" s="124" t="s">
        <v>215</v>
      </c>
      <c r="B105" s="125"/>
      <c r="C105" s="126" t="s">
        <v>216</v>
      </c>
      <c r="D105" s="127" t="s">
        <v>217</v>
      </c>
      <c r="E105" s="126" t="s">
        <v>218</v>
      </c>
      <c r="F105" s="126" t="s">
        <v>219</v>
      </c>
      <c r="G105" s="128" t="s">
        <v>220</v>
      </c>
    </row>
    <row r="106" spans="1:7" ht="14.25" hidden="1" thickBot="1">
      <c r="A106" s="129" t="s">
        <v>221</v>
      </c>
      <c r="B106" s="130" t="s">
        <v>222</v>
      </c>
      <c r="C106" s="130" t="s">
        <v>3</v>
      </c>
      <c r="D106" s="131" t="s">
        <v>223</v>
      </c>
      <c r="E106" s="130" t="s">
        <v>3</v>
      </c>
      <c r="F106" s="130" t="s">
        <v>224</v>
      </c>
      <c r="G106" s="132" t="s">
        <v>3</v>
      </c>
    </row>
    <row r="107" spans="3:7" ht="12.75" hidden="1">
      <c r="C107" s="133"/>
      <c r="D107" s="165"/>
      <c r="E107" s="133"/>
      <c r="F107" s="133"/>
      <c r="G107" s="133"/>
    </row>
    <row r="108" spans="1:7" ht="12.75" hidden="1">
      <c r="A108" s="114">
        <v>400</v>
      </c>
      <c r="B108" s="114" t="s">
        <v>283</v>
      </c>
      <c r="C108" s="117"/>
      <c r="D108" s="165"/>
      <c r="E108" s="166"/>
      <c r="F108" s="165"/>
      <c r="G108" s="133"/>
    </row>
    <row r="109" spans="2:7" ht="12.75" hidden="1">
      <c r="B109" s="142" t="s">
        <v>284</v>
      </c>
      <c r="C109" s="146">
        <v>4800</v>
      </c>
      <c r="D109" s="167">
        <f>'[2]Profit and Loss (2)'!B50</f>
        <v>3850</v>
      </c>
      <c r="E109" s="146">
        <v>4800</v>
      </c>
      <c r="F109" s="165" t="e">
        <f>E109-#REF!</f>
        <v>#REF!</v>
      </c>
      <c r="G109" s="133">
        <f>E109</f>
        <v>4800</v>
      </c>
    </row>
    <row r="110" spans="2:7" ht="12.75" hidden="1">
      <c r="B110" s="142" t="s">
        <v>285</v>
      </c>
      <c r="C110" s="146">
        <v>100</v>
      </c>
      <c r="D110" s="167">
        <f>'[2]Profit and Loss (2)'!B52</f>
        <v>309</v>
      </c>
      <c r="E110" s="146">
        <v>300</v>
      </c>
      <c r="F110" s="165" t="e">
        <f>E110-#REF!</f>
        <v>#REF!</v>
      </c>
      <c r="G110" s="133">
        <f>E110</f>
        <v>300</v>
      </c>
    </row>
    <row r="111" spans="2:7" ht="12.75" hidden="1">
      <c r="B111" s="142" t="s">
        <v>286</v>
      </c>
      <c r="C111" s="146">
        <v>500</v>
      </c>
      <c r="D111" s="167"/>
      <c r="E111" s="146">
        <v>500</v>
      </c>
      <c r="F111" s="165" t="e">
        <f>E111-#REF!</f>
        <v>#REF!</v>
      </c>
      <c r="G111" s="133"/>
    </row>
    <row r="112" spans="2:9" ht="12.75" hidden="1">
      <c r="B112" s="142" t="s">
        <v>287</v>
      </c>
      <c r="C112" s="146">
        <v>500</v>
      </c>
      <c r="D112" s="167"/>
      <c r="E112" s="146">
        <v>750</v>
      </c>
      <c r="F112" s="165"/>
      <c r="G112" s="133"/>
      <c r="I112" s="115" t="s">
        <v>513</v>
      </c>
    </row>
    <row r="113" spans="3:7" ht="12.75" hidden="1">
      <c r="C113" s="166"/>
      <c r="D113" s="165"/>
      <c r="E113" s="166"/>
      <c r="F113" s="165"/>
      <c r="G113" s="133"/>
    </row>
    <row r="114" spans="1:7" ht="12.75" hidden="1">
      <c r="A114" s="114">
        <v>401</v>
      </c>
      <c r="B114" s="114" t="s">
        <v>63</v>
      </c>
      <c r="C114" s="166"/>
      <c r="D114" s="165"/>
      <c r="E114" s="166"/>
      <c r="F114" s="165"/>
      <c r="G114" s="133"/>
    </row>
    <row r="115" spans="2:7" ht="12.75" hidden="1">
      <c r="B115" s="142" t="s">
        <v>288</v>
      </c>
      <c r="C115" s="146">
        <v>1200</v>
      </c>
      <c r="D115" s="167">
        <f>'[2]Profit and Loss (2)'!B56</f>
        <v>1000</v>
      </c>
      <c r="E115" s="146">
        <v>1200</v>
      </c>
      <c r="F115" s="165" t="e">
        <f>E115-#REF!</f>
        <v>#REF!</v>
      </c>
      <c r="G115" s="133">
        <f>E115</f>
        <v>1200</v>
      </c>
    </row>
    <row r="116" spans="2:7" ht="12.75" hidden="1">
      <c r="B116" s="142" t="s">
        <v>285</v>
      </c>
      <c r="C116" s="146">
        <v>50</v>
      </c>
      <c r="D116" s="167">
        <v>0</v>
      </c>
      <c r="E116" s="146">
        <v>50</v>
      </c>
      <c r="F116" s="165" t="e">
        <f>E116-#REF!</f>
        <v>#REF!</v>
      </c>
      <c r="G116" s="133">
        <f>E116</f>
        <v>50</v>
      </c>
    </row>
    <row r="117" spans="3:7" ht="12.75" hidden="1">
      <c r="C117" s="166"/>
      <c r="D117" s="165">
        <v>0</v>
      </c>
      <c r="E117" s="166"/>
      <c r="F117" s="165"/>
      <c r="G117" s="133"/>
    </row>
    <row r="118" spans="1:7" ht="12.75" hidden="1">
      <c r="A118" s="114">
        <v>402</v>
      </c>
      <c r="B118" s="141" t="s">
        <v>66</v>
      </c>
      <c r="C118" s="146">
        <v>2500</v>
      </c>
      <c r="D118" s="167">
        <f>'[2]Profit and Loss (2)'!B57</f>
        <v>2700</v>
      </c>
      <c r="E118" s="146">
        <v>2700</v>
      </c>
      <c r="F118" s="165" t="e">
        <f>E118-#REF!</f>
        <v>#REF!</v>
      </c>
      <c r="G118" s="133">
        <f>E118</f>
        <v>2700</v>
      </c>
    </row>
    <row r="119" spans="3:7" ht="12.75" hidden="1">
      <c r="C119" s="166"/>
      <c r="D119" s="165"/>
      <c r="E119" s="166"/>
      <c r="F119" s="165"/>
      <c r="G119" s="133"/>
    </row>
    <row r="120" spans="1:7" ht="12.75" hidden="1">
      <c r="A120" s="114">
        <v>403</v>
      </c>
      <c r="B120" s="114" t="s">
        <v>67</v>
      </c>
      <c r="C120" s="166"/>
      <c r="D120" s="165"/>
      <c r="E120" s="166"/>
      <c r="F120" s="165"/>
      <c r="G120" s="133"/>
    </row>
    <row r="121" spans="2:7" ht="12.75" hidden="1">
      <c r="B121" s="142" t="s">
        <v>289</v>
      </c>
      <c r="C121" s="146">
        <v>3000</v>
      </c>
      <c r="D121" s="167">
        <f>'[2]Profit and Loss (2)'!B58</f>
        <v>2500</v>
      </c>
      <c r="E121" s="168">
        <f>250*12</f>
        <v>3000</v>
      </c>
      <c r="F121" s="165" t="e">
        <f>E121-#REF!</f>
        <v>#REF!</v>
      </c>
      <c r="G121" s="133">
        <f>E121</f>
        <v>3000</v>
      </c>
    </row>
    <row r="122" spans="2:7" ht="12.75" hidden="1">
      <c r="B122" s="142" t="s">
        <v>290</v>
      </c>
      <c r="C122" s="144">
        <v>0</v>
      </c>
      <c r="D122" s="167"/>
      <c r="E122" s="144">
        <v>0</v>
      </c>
      <c r="F122" s="165" t="e">
        <f>E122-#REF!</f>
        <v>#REF!</v>
      </c>
      <c r="G122" s="133">
        <f>E122</f>
        <v>0</v>
      </c>
    </row>
    <row r="123" spans="2:7" ht="12.75" hidden="1">
      <c r="B123" s="142" t="s">
        <v>291</v>
      </c>
      <c r="C123" s="146">
        <v>500</v>
      </c>
      <c r="D123" s="167"/>
      <c r="E123" s="146">
        <v>500</v>
      </c>
      <c r="F123" s="165"/>
      <c r="G123" s="133"/>
    </row>
    <row r="124" spans="2:7" ht="12.75" hidden="1">
      <c r="B124" s="142" t="s">
        <v>292</v>
      </c>
      <c r="C124" s="146">
        <v>200</v>
      </c>
      <c r="D124" s="167">
        <f>'[2]Profit and Loss (2)'!B59+'[2]Profit and Loss (2)'!B60</f>
        <v>253.01</v>
      </c>
      <c r="E124" s="146">
        <v>300</v>
      </c>
      <c r="F124" s="165" t="e">
        <f>E124-#REF!</f>
        <v>#REF!</v>
      </c>
      <c r="G124" s="133">
        <f>E124</f>
        <v>300</v>
      </c>
    </row>
    <row r="125" spans="3:7" ht="12.75" hidden="1">
      <c r="C125" s="166"/>
      <c r="D125" s="165"/>
      <c r="E125" s="166"/>
      <c r="F125" s="165"/>
      <c r="G125" s="133"/>
    </row>
    <row r="126" spans="1:7" ht="12.75" hidden="1">
      <c r="A126" s="114">
        <v>404</v>
      </c>
      <c r="B126" s="114" t="s">
        <v>71</v>
      </c>
      <c r="C126" s="166"/>
      <c r="D126" s="165"/>
      <c r="E126" s="166"/>
      <c r="F126" s="165"/>
      <c r="G126" s="133"/>
    </row>
    <row r="127" spans="2:7" ht="12.75" hidden="1">
      <c r="B127" s="142" t="s">
        <v>293</v>
      </c>
      <c r="C127" s="146">
        <v>4000</v>
      </c>
      <c r="D127" s="167">
        <f>'[2]Profit and Loss (2)'!B61</f>
        <v>4787.68</v>
      </c>
      <c r="E127" s="146">
        <v>5000</v>
      </c>
      <c r="F127" s="165" t="e">
        <f>E127-#REF!</f>
        <v>#REF!</v>
      </c>
      <c r="G127" s="133">
        <f>E127</f>
        <v>5000</v>
      </c>
    </row>
    <row r="128" spans="2:7" ht="12.75" hidden="1">
      <c r="B128" s="142" t="s">
        <v>294</v>
      </c>
      <c r="C128" s="146">
        <v>1000</v>
      </c>
      <c r="D128" s="139"/>
      <c r="E128" s="146">
        <v>250</v>
      </c>
      <c r="F128" s="165" t="e">
        <f>E128-#REF!</f>
        <v>#REF!</v>
      </c>
      <c r="G128" s="133">
        <f>E128</f>
        <v>250</v>
      </c>
    </row>
    <row r="129" spans="3:7" ht="12.75" hidden="1">
      <c r="C129" s="166"/>
      <c r="D129" s="165"/>
      <c r="E129" s="166"/>
      <c r="F129" s="165"/>
      <c r="G129" s="133"/>
    </row>
    <row r="130" spans="1:7" ht="12.75" hidden="1">
      <c r="A130" s="114">
        <v>405</v>
      </c>
      <c r="B130" s="114" t="s">
        <v>74</v>
      </c>
      <c r="C130" s="166"/>
      <c r="D130" s="165"/>
      <c r="E130" s="166"/>
      <c r="F130" s="165"/>
      <c r="G130" s="133"/>
    </row>
    <row r="131" spans="2:7" ht="12.75" hidden="1">
      <c r="B131" s="142" t="s">
        <v>288</v>
      </c>
      <c r="C131" s="146">
        <v>7100</v>
      </c>
      <c r="D131" s="167">
        <f>'[2]Profit and Loss (2)'!B62</f>
        <v>5920</v>
      </c>
      <c r="E131" s="146">
        <v>7100</v>
      </c>
      <c r="F131" s="165" t="e">
        <f>E131-#REF!</f>
        <v>#REF!</v>
      </c>
      <c r="G131" s="133">
        <f aca="true" t="shared" si="2" ref="G131:G139">E131</f>
        <v>7100</v>
      </c>
    </row>
    <row r="132" spans="2:7" ht="12.75" hidden="1">
      <c r="B132" s="142" t="s">
        <v>295</v>
      </c>
      <c r="C132" s="146">
        <v>500</v>
      </c>
      <c r="D132" s="167">
        <f>'[2]Profit and Loss (2)'!B63</f>
        <v>415.48</v>
      </c>
      <c r="E132" s="146">
        <v>400</v>
      </c>
      <c r="F132" s="165" t="e">
        <f>E132-#REF!</f>
        <v>#REF!</v>
      </c>
      <c r="G132" s="133">
        <f t="shared" si="2"/>
        <v>400</v>
      </c>
    </row>
    <row r="133" spans="2:7" ht="12.75" hidden="1">
      <c r="B133" s="142" t="s">
        <v>296</v>
      </c>
      <c r="C133" s="146">
        <v>1100</v>
      </c>
      <c r="D133" s="167">
        <f>'[2]Profit and Loss (2)'!B64</f>
        <v>845.52</v>
      </c>
      <c r="E133" s="146">
        <v>1100</v>
      </c>
      <c r="F133" s="165"/>
      <c r="G133" s="133"/>
    </row>
    <row r="134" spans="2:7" ht="12.75" hidden="1">
      <c r="B134" s="142" t="s">
        <v>297</v>
      </c>
      <c r="C134" s="146"/>
      <c r="D134" s="167">
        <v>0</v>
      </c>
      <c r="E134" s="146">
        <v>300</v>
      </c>
      <c r="F134" s="165"/>
      <c r="G134" s="133"/>
    </row>
    <row r="135" spans="2:7" ht="12.75" hidden="1">
      <c r="B135" s="142" t="s">
        <v>79</v>
      </c>
      <c r="C135" s="146">
        <v>100</v>
      </c>
      <c r="D135" s="167">
        <v>0</v>
      </c>
      <c r="E135" s="146">
        <v>100</v>
      </c>
      <c r="F135" s="165" t="e">
        <f>E135-#REF!</f>
        <v>#REF!</v>
      </c>
      <c r="G135" s="133">
        <f t="shared" si="2"/>
        <v>100</v>
      </c>
    </row>
    <row r="136" spans="2:7" ht="12.75" hidden="1">
      <c r="B136" s="142" t="s">
        <v>296</v>
      </c>
      <c r="C136" s="146"/>
      <c r="D136" s="167"/>
      <c r="E136" s="146"/>
      <c r="F136" s="165"/>
      <c r="G136" s="133">
        <f t="shared" si="2"/>
        <v>0</v>
      </c>
    </row>
    <row r="137" spans="2:7" ht="12.75" hidden="1">
      <c r="B137" s="142" t="s">
        <v>298</v>
      </c>
      <c r="C137" s="146">
        <v>300</v>
      </c>
      <c r="D137" s="167">
        <f>'[2]Profit and Loss (2)'!B65</f>
        <v>77.68</v>
      </c>
      <c r="E137" s="146">
        <v>200</v>
      </c>
      <c r="F137" s="165" t="e">
        <f>E137-#REF!</f>
        <v>#REF!</v>
      </c>
      <c r="G137" s="133">
        <f t="shared" si="2"/>
        <v>200</v>
      </c>
    </row>
    <row r="138" spans="2:7" ht="12.75" hidden="1">
      <c r="B138" s="142" t="s">
        <v>299</v>
      </c>
      <c r="C138" s="146">
        <v>450</v>
      </c>
      <c r="D138" s="139">
        <v>0</v>
      </c>
      <c r="E138" s="146">
        <v>435</v>
      </c>
      <c r="F138" s="165" t="e">
        <f>E138-#REF!</f>
        <v>#REF!</v>
      </c>
      <c r="G138" s="133">
        <f t="shared" si="2"/>
        <v>435</v>
      </c>
    </row>
    <row r="139" spans="2:8" ht="12.75" hidden="1">
      <c r="B139" s="142" t="s">
        <v>300</v>
      </c>
      <c r="C139" s="146">
        <v>1000</v>
      </c>
      <c r="D139" s="167">
        <f>'[2]Profit and Loss (2)'!B67</f>
        <v>1065.56</v>
      </c>
      <c r="E139" s="146">
        <v>1000</v>
      </c>
      <c r="F139" s="165" t="e">
        <f>E139-#REF!</f>
        <v>#REF!</v>
      </c>
      <c r="G139" s="133">
        <f t="shared" si="2"/>
        <v>1000</v>
      </c>
      <c r="H139" s="147"/>
    </row>
    <row r="140" spans="3:7" ht="12.75" hidden="1">
      <c r="C140" s="166"/>
      <c r="D140" s="165"/>
      <c r="E140" s="166"/>
      <c r="F140" s="165"/>
      <c r="G140" s="133"/>
    </row>
    <row r="141" spans="1:7" ht="12.75" hidden="1">
      <c r="A141" s="114">
        <v>407</v>
      </c>
      <c r="B141" s="114" t="s">
        <v>50</v>
      </c>
      <c r="C141" s="166"/>
      <c r="D141" s="165"/>
      <c r="E141" s="166"/>
      <c r="F141" s="165"/>
      <c r="G141" s="133"/>
    </row>
    <row r="142" spans="2:7" ht="12.75" hidden="1">
      <c r="B142" s="142" t="s">
        <v>134</v>
      </c>
      <c r="C142" s="146">
        <v>500</v>
      </c>
      <c r="D142" s="167">
        <f>'[2]Profit and Loss (2)'!B66</f>
        <v>287.91</v>
      </c>
      <c r="E142" s="146">
        <v>300</v>
      </c>
      <c r="F142" s="165" t="e">
        <f>E142-#REF!</f>
        <v>#REF!</v>
      </c>
      <c r="G142" s="133">
        <f>E142</f>
        <v>300</v>
      </c>
    </row>
    <row r="143" spans="2:7" ht="12.75" hidden="1">
      <c r="B143" s="142" t="s">
        <v>301</v>
      </c>
      <c r="C143" s="146">
        <v>100</v>
      </c>
      <c r="D143" s="167">
        <f>'[2]Profit and Loss (2)'!B89</f>
        <v>1220.22</v>
      </c>
      <c r="E143" s="146">
        <v>100</v>
      </c>
      <c r="F143" s="165" t="e">
        <f>E143-#REF!</f>
        <v>#REF!</v>
      </c>
      <c r="G143" s="133">
        <f>E143</f>
        <v>100</v>
      </c>
    </row>
    <row r="144" spans="3:7" ht="12.75">
      <c r="C144" s="166"/>
      <c r="D144" s="165"/>
      <c r="E144" s="166"/>
      <c r="F144" s="165"/>
      <c r="G144" s="133"/>
    </row>
    <row r="145" spans="1:7" ht="12.75" hidden="1">
      <c r="A145" s="114">
        <v>408</v>
      </c>
      <c r="B145" s="114" t="s">
        <v>302</v>
      </c>
      <c r="C145" s="166"/>
      <c r="D145" s="165"/>
      <c r="E145" s="166"/>
      <c r="F145" s="165"/>
      <c r="G145" s="133"/>
    </row>
    <row r="146" spans="2:7" ht="12.75" hidden="1">
      <c r="B146" s="142" t="s">
        <v>303</v>
      </c>
      <c r="C146" s="146">
        <v>2000</v>
      </c>
      <c r="D146" s="167">
        <f>'[2]Profit and Loss (2)'!B68</f>
        <v>1124</v>
      </c>
      <c r="E146" s="146">
        <v>2000</v>
      </c>
      <c r="F146" s="165" t="e">
        <f>E146-#REF!</f>
        <v>#REF!</v>
      </c>
      <c r="G146" s="133">
        <f>E146</f>
        <v>2000</v>
      </c>
    </row>
    <row r="147" spans="2:7" ht="12.75" hidden="1">
      <c r="B147" s="142" t="s">
        <v>304</v>
      </c>
      <c r="C147" s="146"/>
      <c r="D147" s="167"/>
      <c r="E147" s="146"/>
      <c r="F147" s="165"/>
      <c r="G147" s="133"/>
    </row>
    <row r="148" spans="2:7" ht="12.75" hidden="1">
      <c r="B148" s="142" t="s">
        <v>305</v>
      </c>
      <c r="C148" s="146">
        <v>1000</v>
      </c>
      <c r="D148" s="167">
        <f>'[2]Profit and Loss (2)'!B70</f>
        <v>102</v>
      </c>
      <c r="E148" s="146">
        <v>1000</v>
      </c>
      <c r="F148" s="165"/>
      <c r="G148" s="133"/>
    </row>
    <row r="149" spans="2:7" ht="12.75" hidden="1">
      <c r="B149" s="142" t="s">
        <v>306</v>
      </c>
      <c r="C149" s="146">
        <v>500</v>
      </c>
      <c r="D149" s="167">
        <v>0</v>
      </c>
      <c r="E149" s="146">
        <v>500</v>
      </c>
      <c r="F149" s="165"/>
      <c r="G149" s="133"/>
    </row>
    <row r="150" spans="2:9" ht="12.75" hidden="1">
      <c r="B150" s="142" t="s">
        <v>307</v>
      </c>
      <c r="C150" s="146">
        <v>8000</v>
      </c>
      <c r="D150" s="167">
        <f>'[2]Profit and Loss (2)'!B69</f>
        <v>5864</v>
      </c>
      <c r="E150" s="168">
        <v>4000</v>
      </c>
      <c r="F150" s="165" t="e">
        <f>E150-#REF!</f>
        <v>#REF!</v>
      </c>
      <c r="G150" s="133">
        <f>E150</f>
        <v>4000</v>
      </c>
      <c r="I150" s="115" t="s">
        <v>514</v>
      </c>
    </row>
    <row r="151" spans="2:7" ht="12.75" hidden="1">
      <c r="B151" s="142" t="s">
        <v>305</v>
      </c>
      <c r="C151" s="146"/>
      <c r="D151" s="167"/>
      <c r="E151" s="146"/>
      <c r="F151" s="165"/>
      <c r="G151" s="133"/>
    </row>
    <row r="152" spans="3:7" ht="12.75">
      <c r="C152" s="166"/>
      <c r="D152" s="165"/>
      <c r="E152" s="166"/>
      <c r="F152" s="165"/>
      <c r="G152" s="133"/>
    </row>
    <row r="153" spans="1:7" ht="12.75" hidden="1">
      <c r="A153" s="114">
        <v>409</v>
      </c>
      <c r="B153" s="114" t="s">
        <v>88</v>
      </c>
      <c r="C153" s="166"/>
      <c r="D153" s="165"/>
      <c r="E153" s="166"/>
      <c r="F153" s="165"/>
      <c r="G153" s="133"/>
    </row>
    <row r="154" spans="2:7" ht="12.75" hidden="1">
      <c r="B154" s="142" t="s">
        <v>308</v>
      </c>
      <c r="C154" s="146">
        <v>100</v>
      </c>
      <c r="D154" s="167">
        <v>0</v>
      </c>
      <c r="E154" s="146">
        <v>100</v>
      </c>
      <c r="F154" s="165" t="e">
        <f>E154-#REF!</f>
        <v>#REF!</v>
      </c>
      <c r="G154" s="133">
        <f aca="true" t="shared" si="3" ref="G154:G160">E154</f>
        <v>100</v>
      </c>
    </row>
    <row r="155" spans="2:7" ht="12.75" hidden="1">
      <c r="B155" s="142" t="s">
        <v>309</v>
      </c>
      <c r="C155" s="146">
        <v>650</v>
      </c>
      <c r="D155" s="167">
        <f>'[2]Profit and Loss (2)'!B71</f>
        <v>623.02</v>
      </c>
      <c r="E155" s="146">
        <f>63*12</f>
        <v>756</v>
      </c>
      <c r="F155" s="165" t="e">
        <f>E155-#REF!</f>
        <v>#REF!</v>
      </c>
      <c r="G155" s="133">
        <f t="shared" si="3"/>
        <v>756</v>
      </c>
    </row>
    <row r="156" spans="2:7" ht="12.75" hidden="1">
      <c r="B156" s="136" t="s">
        <v>310</v>
      </c>
      <c r="C156" s="146">
        <v>500</v>
      </c>
      <c r="D156" s="167">
        <f>'[2]Profit and Loss (2)'!B51+'[2]Profit and Loss (2)'!B72</f>
        <v>557.4300000000001</v>
      </c>
      <c r="E156" s="146">
        <f>50*12</f>
        <v>600</v>
      </c>
      <c r="F156" s="165" t="e">
        <f>E156-#REF!</f>
        <v>#REF!</v>
      </c>
      <c r="G156" s="133">
        <f t="shared" si="3"/>
        <v>600</v>
      </c>
    </row>
    <row r="157" spans="2:7" ht="12.75" hidden="1">
      <c r="B157" s="142" t="s">
        <v>311</v>
      </c>
      <c r="C157" s="146">
        <v>500</v>
      </c>
      <c r="D157" s="167">
        <f>'[2]Profit and Loss (2)'!B73</f>
        <v>509.16</v>
      </c>
      <c r="E157" s="146">
        <v>600</v>
      </c>
      <c r="F157" s="165" t="e">
        <f>E157-#REF!</f>
        <v>#REF!</v>
      </c>
      <c r="G157" s="133">
        <f t="shared" si="3"/>
        <v>600</v>
      </c>
    </row>
    <row r="158" spans="2:7" ht="12.75" hidden="1">
      <c r="B158" s="142" t="s">
        <v>312</v>
      </c>
      <c r="C158" s="146">
        <v>100</v>
      </c>
      <c r="D158" s="167">
        <f>'[2]Profit and Loss (2)'!B75</f>
        <v>1508.74</v>
      </c>
      <c r="E158" s="168">
        <v>1000</v>
      </c>
      <c r="F158" s="165" t="e">
        <f>E158-#REF!</f>
        <v>#REF!</v>
      </c>
      <c r="G158" s="133">
        <f t="shared" si="3"/>
        <v>1000</v>
      </c>
    </row>
    <row r="159" spans="2:7" ht="12.75" hidden="1">
      <c r="B159" s="142" t="s">
        <v>313</v>
      </c>
      <c r="C159" s="146">
        <v>1500</v>
      </c>
      <c r="D159" s="167">
        <f>'[2]Profit and Loss (2)'!B74</f>
        <v>540.33</v>
      </c>
      <c r="E159" s="146">
        <v>1000</v>
      </c>
      <c r="F159" s="165" t="e">
        <f>E159-#REF!</f>
        <v>#REF!</v>
      </c>
      <c r="G159" s="133">
        <f t="shared" si="3"/>
        <v>1000</v>
      </c>
    </row>
    <row r="160" spans="2:7" ht="12.75" hidden="1">
      <c r="B160" s="142" t="s">
        <v>314</v>
      </c>
      <c r="C160" s="146">
        <v>1000</v>
      </c>
      <c r="D160" s="167"/>
      <c r="E160" s="168">
        <v>1500</v>
      </c>
      <c r="F160" s="165" t="e">
        <f>E160-#REF!</f>
        <v>#REF!</v>
      </c>
      <c r="G160" s="133">
        <f t="shared" si="3"/>
        <v>1500</v>
      </c>
    </row>
    <row r="161" spans="2:7" ht="12.75" hidden="1">
      <c r="B161" s="114"/>
      <c r="C161" s="166"/>
      <c r="D161" s="165"/>
      <c r="E161" s="166"/>
      <c r="F161" s="165"/>
      <c r="G161" s="133"/>
    </row>
    <row r="162" spans="3:7" ht="12.75">
      <c r="C162" s="166"/>
      <c r="D162" s="165"/>
      <c r="E162" s="166"/>
      <c r="F162" s="165"/>
      <c r="G162" s="133"/>
    </row>
    <row r="163" spans="1:7" ht="12.75" hidden="1">
      <c r="A163" s="114">
        <v>411</v>
      </c>
      <c r="B163" s="114" t="s">
        <v>315</v>
      </c>
      <c r="C163" s="166"/>
      <c r="D163" s="165"/>
      <c r="E163" s="166"/>
      <c r="F163" s="165"/>
      <c r="G163" s="133"/>
    </row>
    <row r="164" spans="2:7" ht="12.75" hidden="1">
      <c r="B164" s="142" t="s">
        <v>316</v>
      </c>
      <c r="C164" s="146">
        <f>98.44*12</f>
        <v>1181.28</v>
      </c>
      <c r="D164" s="167">
        <f>'[2]Profit and Loss (2)'!B97</f>
        <v>984.4</v>
      </c>
      <c r="E164" s="146">
        <f>98.44*12</f>
        <v>1181.28</v>
      </c>
      <c r="F164" s="165" t="e">
        <f>E164-#REF!</f>
        <v>#REF!</v>
      </c>
      <c r="G164" s="133">
        <f>E164</f>
        <v>1181.28</v>
      </c>
    </row>
    <row r="165" spans="2:7" ht="12.75" hidden="1">
      <c r="B165" s="142" t="s">
        <v>317</v>
      </c>
      <c r="C165" s="169">
        <v>9000</v>
      </c>
      <c r="D165" s="167">
        <f>'[2]Profit and Loss (2)'!B96-D167</f>
        <v>7238</v>
      </c>
      <c r="E165" s="169">
        <f>2885+6319</f>
        <v>9204</v>
      </c>
      <c r="F165" s="165" t="e">
        <f>E165-#REF!</f>
        <v>#REF!</v>
      </c>
      <c r="G165" s="133">
        <f>E165</f>
        <v>9204</v>
      </c>
    </row>
    <row r="166" spans="2:7" ht="12.75" hidden="1">
      <c r="B166" s="142" t="s">
        <v>515</v>
      </c>
      <c r="C166" s="169"/>
      <c r="D166" s="167"/>
      <c r="E166" s="169">
        <v>2500</v>
      </c>
      <c r="F166" s="165"/>
      <c r="G166" s="133"/>
    </row>
    <row r="167" spans="2:7" ht="12.75" hidden="1">
      <c r="B167" s="142" t="s">
        <v>318</v>
      </c>
      <c r="C167" s="169">
        <v>5900</v>
      </c>
      <c r="D167" s="167">
        <v>6137</v>
      </c>
      <c r="E167" s="169">
        <v>6150</v>
      </c>
      <c r="F167" s="165"/>
      <c r="G167" s="133"/>
    </row>
    <row r="168" spans="2:7" ht="12.75" hidden="1">
      <c r="B168" s="142" t="s">
        <v>319</v>
      </c>
      <c r="C168" s="170">
        <f>C93</f>
        <v>2745</v>
      </c>
      <c r="D168" s="167">
        <f>'[2]Profit and Loss (2)'!B76</f>
        <v>2734.8</v>
      </c>
      <c r="E168" s="170">
        <v>2735</v>
      </c>
      <c r="F168" s="165" t="e">
        <f>E168-#REF!</f>
        <v>#REF!</v>
      </c>
      <c r="G168" s="133">
        <f>E168</f>
        <v>2735</v>
      </c>
    </row>
    <row r="169" spans="3:7" ht="12.75">
      <c r="C169" s="166"/>
      <c r="D169" s="165"/>
      <c r="E169" s="166"/>
      <c r="F169" s="165"/>
      <c r="G169" s="133"/>
    </row>
    <row r="170" spans="1:7" ht="12.75" hidden="1">
      <c r="A170" s="114">
        <v>414</v>
      </c>
      <c r="B170" s="114" t="s">
        <v>320</v>
      </c>
      <c r="C170" s="166"/>
      <c r="D170" s="135"/>
      <c r="E170" s="166"/>
      <c r="F170" s="165"/>
      <c r="G170" s="133"/>
    </row>
    <row r="171" spans="2:7" ht="12.75" hidden="1">
      <c r="B171" s="136" t="s">
        <v>321</v>
      </c>
      <c r="C171" s="146">
        <v>500</v>
      </c>
      <c r="D171" s="171">
        <f>'[2]Profit and Loss (2)'!B77</f>
        <v>137.5</v>
      </c>
      <c r="E171" s="168">
        <v>2000</v>
      </c>
      <c r="F171" s="165" t="e">
        <f>E171-#REF!</f>
        <v>#REF!</v>
      </c>
      <c r="G171" s="133">
        <f>E171</f>
        <v>2000</v>
      </c>
    </row>
    <row r="172" spans="2:7" ht="12.75" hidden="1">
      <c r="B172" s="142" t="s">
        <v>322</v>
      </c>
      <c r="C172" s="146">
        <v>500</v>
      </c>
      <c r="D172" s="171">
        <v>0</v>
      </c>
      <c r="E172" s="168">
        <v>250</v>
      </c>
      <c r="F172" s="165" t="e">
        <f>E172-#REF!</f>
        <v>#REF!</v>
      </c>
      <c r="G172" s="133">
        <f>E172</f>
        <v>250</v>
      </c>
    </row>
    <row r="173" spans="2:7" ht="12.75" hidden="1">
      <c r="B173" s="142" t="s">
        <v>323</v>
      </c>
      <c r="C173" s="146">
        <v>1500</v>
      </c>
      <c r="D173" s="171">
        <f>'[2]Profit and Loss (2)'!B54</f>
        <v>803.25</v>
      </c>
      <c r="E173" s="168">
        <v>2000</v>
      </c>
      <c r="F173" s="165"/>
      <c r="G173" s="133"/>
    </row>
    <row r="174" spans="2:7" ht="12.75" hidden="1">
      <c r="B174" s="142" t="s">
        <v>324</v>
      </c>
      <c r="C174" s="146"/>
      <c r="D174" s="171"/>
      <c r="E174" s="168"/>
      <c r="F174" s="165" t="e">
        <f>E174-#REF!</f>
        <v>#REF!</v>
      </c>
      <c r="G174" s="133">
        <f>E174</f>
        <v>0</v>
      </c>
    </row>
    <row r="175" spans="2:7" ht="12.75" hidden="1">
      <c r="B175" s="142" t="s">
        <v>516</v>
      </c>
      <c r="C175" s="146"/>
      <c r="D175" s="171">
        <f>'[2]Profit and Loss (2)'!B55</f>
        <v>599</v>
      </c>
      <c r="E175" s="168">
        <v>250</v>
      </c>
      <c r="F175" s="165"/>
      <c r="G175" s="133"/>
    </row>
    <row r="176" spans="2:7" ht="12.75" hidden="1">
      <c r="B176" s="142" t="s">
        <v>107</v>
      </c>
      <c r="C176" s="146">
        <v>1000</v>
      </c>
      <c r="D176" s="171">
        <f>'[2]Profit and Loss (2)'!B53</f>
        <v>851</v>
      </c>
      <c r="E176" s="168">
        <v>1000</v>
      </c>
      <c r="F176" s="165" t="e">
        <f>E176-#REF!</f>
        <v>#REF!</v>
      </c>
      <c r="G176" s="133">
        <f>E176</f>
        <v>1000</v>
      </c>
    </row>
    <row r="177" spans="3:8" ht="12.75">
      <c r="C177" s="166"/>
      <c r="D177" s="135"/>
      <c r="E177" s="166"/>
      <c r="F177" s="172"/>
      <c r="H177" s="173"/>
    </row>
    <row r="178" spans="1:6" ht="12.75" hidden="1">
      <c r="A178" s="114">
        <v>426</v>
      </c>
      <c r="B178" s="114" t="s">
        <v>109</v>
      </c>
      <c r="C178" s="166"/>
      <c r="D178" s="135"/>
      <c r="E178" s="166"/>
      <c r="F178" s="172"/>
    </row>
    <row r="179" spans="2:7" ht="12.75" hidden="1">
      <c r="B179" s="136" t="s">
        <v>325</v>
      </c>
      <c r="C179" s="146">
        <v>44797</v>
      </c>
      <c r="D179" s="171">
        <f>'[2]Profit and Loss (2)'!B99</f>
        <v>37253.77</v>
      </c>
      <c r="E179" s="146">
        <f>3724.52*12</f>
        <v>44694.24</v>
      </c>
      <c r="F179" s="165" t="e">
        <f>E179-#REF!</f>
        <v>#REF!</v>
      </c>
      <c r="G179" s="133">
        <f>E179</f>
        <v>44694.24</v>
      </c>
    </row>
    <row r="180" spans="2:7" ht="12.75" hidden="1">
      <c r="B180" s="136" t="s">
        <v>326</v>
      </c>
      <c r="C180" s="146">
        <v>5000</v>
      </c>
      <c r="D180" s="171">
        <f>'[2]Profit and Loss (2)'!B106</f>
        <v>123.94</v>
      </c>
      <c r="E180" s="146">
        <v>5000</v>
      </c>
      <c r="F180" s="165" t="e">
        <f>E180-#REF!</f>
        <v>#REF!</v>
      </c>
      <c r="G180" s="133">
        <f>E180</f>
        <v>5000</v>
      </c>
    </row>
    <row r="181" spans="2:7" ht="12.75" hidden="1">
      <c r="B181" s="136" t="s">
        <v>113</v>
      </c>
      <c r="C181" s="146">
        <v>500</v>
      </c>
      <c r="D181" s="171">
        <v>0</v>
      </c>
      <c r="E181" s="146">
        <v>0</v>
      </c>
      <c r="F181" s="165" t="e">
        <f>E181-#REF!</f>
        <v>#REF!</v>
      </c>
      <c r="G181" s="133">
        <f>E181</f>
        <v>0</v>
      </c>
    </row>
    <row r="182" spans="2:7" ht="12.75" hidden="1">
      <c r="B182" s="136" t="s">
        <v>327</v>
      </c>
      <c r="C182" s="146">
        <f>500</f>
        <v>500</v>
      </c>
      <c r="D182" s="171">
        <v>0</v>
      </c>
      <c r="E182" s="146">
        <f>125+245+165+165+165</f>
        <v>865</v>
      </c>
      <c r="F182" s="165"/>
      <c r="G182" s="133"/>
    </row>
    <row r="183" spans="2:7" ht="12.75" hidden="1">
      <c r="B183" s="136" t="s">
        <v>328</v>
      </c>
      <c r="C183" s="174"/>
      <c r="D183" s="171">
        <v>0</v>
      </c>
      <c r="E183" s="174"/>
      <c r="F183" s="165"/>
      <c r="G183" s="133">
        <f>E183</f>
        <v>0</v>
      </c>
    </row>
    <row r="184" spans="2:6" ht="12.75">
      <c r="B184" s="114"/>
      <c r="C184" s="166"/>
      <c r="D184" s="135"/>
      <c r="E184" s="166"/>
      <c r="F184" s="165"/>
    </row>
    <row r="185" spans="3:6" ht="12.75">
      <c r="C185" s="166"/>
      <c r="D185" s="135"/>
      <c r="E185" s="166"/>
      <c r="F185" s="172"/>
    </row>
    <row r="186" spans="1:6" ht="12.75" hidden="1">
      <c r="A186" s="114">
        <v>430</v>
      </c>
      <c r="B186" s="114" t="s">
        <v>114</v>
      </c>
      <c r="C186" s="166"/>
      <c r="D186" s="135"/>
      <c r="E186" s="166"/>
      <c r="F186" s="172"/>
    </row>
    <row r="187" spans="2:9" ht="12.75" hidden="1">
      <c r="B187" s="142" t="s">
        <v>329</v>
      </c>
      <c r="C187" s="146">
        <v>15000</v>
      </c>
      <c r="D187" s="171">
        <f>'[2]Profit and Loss (2)'!B79+'[2]Profit and Loss (2)'!B104</f>
        <v>10468.72</v>
      </c>
      <c r="E187" s="146">
        <v>17000</v>
      </c>
      <c r="F187" s="165" t="e">
        <f>E187-#REF!</f>
        <v>#REF!</v>
      </c>
      <c r="G187" s="133">
        <f aca="true" t="shared" si="4" ref="G187:G197">E187</f>
        <v>17000</v>
      </c>
      <c r="I187" s="115" t="s">
        <v>517</v>
      </c>
    </row>
    <row r="188" spans="2:12" ht="12.75" hidden="1">
      <c r="B188" s="142" t="s">
        <v>330</v>
      </c>
      <c r="C188" s="146">
        <v>1000</v>
      </c>
      <c r="D188" s="171">
        <f>'[2]Profit and Loss (2)'!B82</f>
        <v>971.29</v>
      </c>
      <c r="E188" s="146">
        <v>1000</v>
      </c>
      <c r="F188" s="165" t="e">
        <f>E188-#REF!</f>
        <v>#REF!</v>
      </c>
      <c r="G188" s="133">
        <f t="shared" si="4"/>
        <v>1000</v>
      </c>
      <c r="I188" s="175">
        <f>E187/13.5</f>
        <v>1259.2592592592594</v>
      </c>
      <c r="J188" s="176" t="s">
        <v>518</v>
      </c>
      <c r="K188" s="176"/>
      <c r="L188" s="176"/>
    </row>
    <row r="189" spans="2:9" ht="12.75" hidden="1">
      <c r="B189" s="142" t="s">
        <v>331</v>
      </c>
      <c r="C189" s="146">
        <v>1000</v>
      </c>
      <c r="D189" s="171">
        <f>'[2]Profit and Loss (2)'!B83</f>
        <v>958.12</v>
      </c>
      <c r="E189" s="174">
        <v>0</v>
      </c>
      <c r="F189" s="165" t="e">
        <f>E189-#REF!</f>
        <v>#REF!</v>
      </c>
      <c r="G189" s="133">
        <f t="shared" si="4"/>
        <v>0</v>
      </c>
      <c r="I189" s="148"/>
    </row>
    <row r="190" spans="2:7" ht="12.75" hidden="1">
      <c r="B190" s="142" t="s">
        <v>332</v>
      </c>
      <c r="C190" s="146"/>
      <c r="D190" s="171">
        <v>0</v>
      </c>
      <c r="E190" s="168">
        <v>0</v>
      </c>
      <c r="F190" s="165"/>
      <c r="G190" s="133"/>
    </row>
    <row r="191" spans="2:9" ht="12.75" hidden="1">
      <c r="B191" s="142" t="s">
        <v>519</v>
      </c>
      <c r="C191" s="146"/>
      <c r="D191" s="171"/>
      <c r="E191" s="146">
        <v>1000</v>
      </c>
      <c r="F191" s="165"/>
      <c r="G191" s="133"/>
      <c r="I191" s="148"/>
    </row>
    <row r="192" spans="2:8" ht="12.75" hidden="1">
      <c r="B192" s="142" t="s">
        <v>333</v>
      </c>
      <c r="C192" s="146">
        <v>3000</v>
      </c>
      <c r="D192" s="171">
        <f>'[2]Profit and Loss (2)'!B81</f>
        <v>882.91</v>
      </c>
      <c r="E192" s="146">
        <v>2000</v>
      </c>
      <c r="F192" s="165" t="e">
        <f>E192-#REF!</f>
        <v>#REF!</v>
      </c>
      <c r="G192" s="133">
        <f t="shared" si="4"/>
        <v>2000</v>
      </c>
      <c r="H192" s="177"/>
    </row>
    <row r="193" spans="2:8" ht="12.75" hidden="1">
      <c r="B193" s="142" t="s">
        <v>334</v>
      </c>
      <c r="C193" s="146"/>
      <c r="D193" s="171">
        <v>0</v>
      </c>
      <c r="E193" s="146">
        <v>0</v>
      </c>
      <c r="F193" s="165" t="e">
        <f>E193-#REF!</f>
        <v>#REF!</v>
      </c>
      <c r="G193" s="133">
        <f t="shared" si="4"/>
        <v>0</v>
      </c>
      <c r="H193" s="177"/>
    </row>
    <row r="194" spans="2:7" ht="12.75" hidden="1">
      <c r="B194" s="142" t="s">
        <v>335</v>
      </c>
      <c r="C194" s="146">
        <v>2000</v>
      </c>
      <c r="D194" s="171">
        <f>'[2]Profit and Loss (2)'!B80</f>
        <v>731.39</v>
      </c>
      <c r="E194" s="146">
        <v>4000</v>
      </c>
      <c r="F194" s="165" t="e">
        <f>E194-#REF!</f>
        <v>#REF!</v>
      </c>
      <c r="G194" s="133">
        <f t="shared" si="4"/>
        <v>4000</v>
      </c>
    </row>
    <row r="195" spans="2:7" ht="12.75" hidden="1">
      <c r="B195" s="142" t="s">
        <v>336</v>
      </c>
      <c r="C195" s="146">
        <v>3000</v>
      </c>
      <c r="D195" s="171">
        <f>'[2]Profit and Loss (2)'!B84</f>
        <v>1887.5</v>
      </c>
      <c r="E195" s="146">
        <v>3000</v>
      </c>
      <c r="F195" s="165" t="e">
        <f>E195-#REF!</f>
        <v>#REF!</v>
      </c>
      <c r="G195" s="133">
        <f t="shared" si="4"/>
        <v>3000</v>
      </c>
    </row>
    <row r="196" spans="2:8" ht="12.75" hidden="1">
      <c r="B196" s="142" t="s">
        <v>337</v>
      </c>
      <c r="C196" s="174">
        <v>0</v>
      </c>
      <c r="D196" s="171">
        <v>0</v>
      </c>
      <c r="E196" s="146">
        <v>0</v>
      </c>
      <c r="F196" s="165" t="e">
        <f>E196-#REF!</f>
        <v>#REF!</v>
      </c>
      <c r="G196" s="133">
        <f t="shared" si="4"/>
        <v>0</v>
      </c>
      <c r="H196" s="173"/>
    </row>
    <row r="197" spans="2:7" ht="12.75" hidden="1">
      <c r="B197" s="142" t="s">
        <v>520</v>
      </c>
      <c r="C197" s="146">
        <v>1000</v>
      </c>
      <c r="D197" s="171">
        <v>0</v>
      </c>
      <c r="E197" s="146">
        <v>1500</v>
      </c>
      <c r="F197" s="178" t="e">
        <f>E197-#REF!</f>
        <v>#REF!</v>
      </c>
      <c r="G197" s="133">
        <f t="shared" si="4"/>
        <v>1500</v>
      </c>
    </row>
    <row r="198" spans="3:6" ht="12.75">
      <c r="C198" s="166"/>
      <c r="D198" s="135"/>
      <c r="E198" s="166"/>
      <c r="F198" s="172"/>
    </row>
    <row r="199" spans="1:9" ht="12.75" hidden="1">
      <c r="A199" s="114">
        <v>434</v>
      </c>
      <c r="B199" s="141" t="s">
        <v>117</v>
      </c>
      <c r="C199" s="146">
        <f>747*12</f>
        <v>8964</v>
      </c>
      <c r="D199" s="171">
        <f>'[2]Profit and Loss (2)'!B85</f>
        <v>8116.28</v>
      </c>
      <c r="E199" s="146">
        <f>869*12</f>
        <v>10428</v>
      </c>
      <c r="F199" s="165" t="e">
        <f>E199-#REF!</f>
        <v>#REF!</v>
      </c>
      <c r="G199" s="133">
        <f>E199</f>
        <v>10428</v>
      </c>
      <c r="I199" s="115" t="s">
        <v>521</v>
      </c>
    </row>
    <row r="200" spans="2:6" ht="12.75" hidden="1">
      <c r="B200" s="114"/>
      <c r="C200" s="166"/>
      <c r="D200" s="135"/>
      <c r="E200" s="166"/>
      <c r="F200" s="165"/>
    </row>
    <row r="201" spans="1:6" ht="12.75" hidden="1">
      <c r="A201" s="114">
        <v>442</v>
      </c>
      <c r="B201" s="114" t="s">
        <v>338</v>
      </c>
      <c r="C201" s="166"/>
      <c r="D201" s="135"/>
      <c r="E201" s="166"/>
      <c r="F201" s="172"/>
    </row>
    <row r="202" spans="2:9" ht="12.75" hidden="1">
      <c r="B202" s="142" t="s">
        <v>339</v>
      </c>
      <c r="C202" s="146">
        <v>55356</v>
      </c>
      <c r="D202" s="171">
        <f>'[2]Profit and Loss (2)'!B90+'[2]Profit and Loss (2)'!B91</f>
        <v>54686.84</v>
      </c>
      <c r="E202" s="146">
        <f>13671.71*4</f>
        <v>54686.84</v>
      </c>
      <c r="F202" s="165" t="e">
        <f>E202-#REF!</f>
        <v>#REF!</v>
      </c>
      <c r="G202" s="133">
        <f>E202</f>
        <v>54686.84</v>
      </c>
      <c r="I202" s="115" t="s">
        <v>522</v>
      </c>
    </row>
    <row r="203" spans="2:7" ht="12.75" hidden="1">
      <c r="B203" s="142" t="s">
        <v>340</v>
      </c>
      <c r="C203" s="174"/>
      <c r="D203" s="171">
        <v>0</v>
      </c>
      <c r="E203" s="174"/>
      <c r="F203" s="165" t="e">
        <f>E203-#REF!</f>
        <v>#REF!</v>
      </c>
      <c r="G203" s="133">
        <f>E203</f>
        <v>0</v>
      </c>
    </row>
    <row r="204" spans="3:6" ht="12.75">
      <c r="C204" s="166"/>
      <c r="D204" s="135"/>
      <c r="E204" s="166"/>
      <c r="F204" s="172"/>
    </row>
    <row r="205" spans="1:8" ht="12.75" hidden="1">
      <c r="A205" s="114">
        <v>450</v>
      </c>
      <c r="B205" s="114" t="s">
        <v>341</v>
      </c>
      <c r="C205" s="166"/>
      <c r="D205" s="135"/>
      <c r="E205" s="166"/>
      <c r="F205" s="172"/>
      <c r="H205" s="173"/>
    </row>
    <row r="206" spans="2:7" ht="12.75" hidden="1">
      <c r="B206" s="136" t="s">
        <v>342</v>
      </c>
      <c r="C206" s="146">
        <v>500</v>
      </c>
      <c r="D206" s="171">
        <v>0</v>
      </c>
      <c r="E206" s="146">
        <v>100</v>
      </c>
      <c r="F206" s="165" t="e">
        <f>E206-#REF!</f>
        <v>#REF!</v>
      </c>
      <c r="G206" s="133">
        <f>E206</f>
        <v>100</v>
      </c>
    </row>
    <row r="207" spans="2:7" ht="12.75" hidden="1">
      <c r="B207" s="136" t="s">
        <v>343</v>
      </c>
      <c r="C207" s="146">
        <v>100</v>
      </c>
      <c r="D207" s="171">
        <v>0</v>
      </c>
      <c r="E207" s="146">
        <v>500</v>
      </c>
      <c r="F207" s="165" t="e">
        <f>E207-#REF!</f>
        <v>#REF!</v>
      </c>
      <c r="G207" s="133">
        <f>E207</f>
        <v>500</v>
      </c>
    </row>
    <row r="208" spans="2:7" ht="12.75" hidden="1">
      <c r="B208" s="136" t="s">
        <v>125</v>
      </c>
      <c r="C208" s="146">
        <v>2000</v>
      </c>
      <c r="D208" s="179">
        <f>'[2]Profit and Loss (2)'!B78</f>
        <v>1717.5</v>
      </c>
      <c r="E208" s="146">
        <v>2000</v>
      </c>
      <c r="F208" s="165" t="e">
        <f>E208-#REF!</f>
        <v>#REF!</v>
      </c>
      <c r="G208" s="133">
        <f>E208</f>
        <v>2000</v>
      </c>
    </row>
    <row r="209" spans="3:6" ht="12.75">
      <c r="C209" s="166"/>
      <c r="D209" s="135"/>
      <c r="E209" s="166"/>
      <c r="F209" s="172"/>
    </row>
    <row r="210" spans="1:6" ht="12.75" hidden="1">
      <c r="A210" s="114">
        <v>453</v>
      </c>
      <c r="B210" s="114" t="s">
        <v>344</v>
      </c>
      <c r="C210" s="166"/>
      <c r="D210" s="135"/>
      <c r="E210" s="166"/>
      <c r="F210" s="172"/>
    </row>
    <row r="211" spans="2:7" ht="12.75" hidden="1">
      <c r="B211" s="142" t="s">
        <v>345</v>
      </c>
      <c r="C211" s="146">
        <v>100</v>
      </c>
      <c r="D211" s="171">
        <f>'[2]Profit and Loss (2)'!B88</f>
        <v>52.5</v>
      </c>
      <c r="E211" s="146">
        <v>100</v>
      </c>
      <c r="F211" s="165" t="e">
        <f>E211-#REF!</f>
        <v>#REF!</v>
      </c>
      <c r="G211" s="133">
        <f>E211</f>
        <v>100</v>
      </c>
    </row>
    <row r="212" spans="2:7" ht="12.75" hidden="1">
      <c r="B212" s="136" t="s">
        <v>346</v>
      </c>
      <c r="C212" s="146">
        <v>100</v>
      </c>
      <c r="D212" s="171">
        <f>'[2]Profit and Loss (2)'!B86</f>
        <v>100</v>
      </c>
      <c r="E212" s="146">
        <v>100</v>
      </c>
      <c r="F212" s="165" t="e">
        <f>E212-#REF!</f>
        <v>#REF!</v>
      </c>
      <c r="G212" s="133">
        <f>E212</f>
        <v>100</v>
      </c>
    </row>
    <row r="213" spans="2:7" ht="12.75" hidden="1">
      <c r="B213" s="136" t="s">
        <v>347</v>
      </c>
      <c r="C213" s="146">
        <v>100</v>
      </c>
      <c r="D213" s="171">
        <v>0</v>
      </c>
      <c r="E213" s="146">
        <v>100</v>
      </c>
      <c r="F213" s="165" t="e">
        <f>E213-#REF!</f>
        <v>#REF!</v>
      </c>
      <c r="G213" s="133">
        <f>E213</f>
        <v>100</v>
      </c>
    </row>
    <row r="214" spans="2:7" ht="12.75" hidden="1">
      <c r="B214" s="136" t="s">
        <v>523</v>
      </c>
      <c r="C214" s="146">
        <v>100</v>
      </c>
      <c r="D214" s="171">
        <v>0</v>
      </c>
      <c r="E214" s="146">
        <v>150</v>
      </c>
      <c r="F214" s="165"/>
      <c r="G214" s="133">
        <f>E214</f>
        <v>150</v>
      </c>
    </row>
    <row r="215" spans="2:7" ht="12.75" hidden="1">
      <c r="B215" s="136" t="s">
        <v>348</v>
      </c>
      <c r="C215" s="146">
        <v>65</v>
      </c>
      <c r="D215" s="171">
        <v>0</v>
      </c>
      <c r="E215" s="146">
        <v>65</v>
      </c>
      <c r="F215" s="165" t="e">
        <f>E215-#REF!</f>
        <v>#REF!</v>
      </c>
      <c r="G215" s="133">
        <f>E215</f>
        <v>65</v>
      </c>
    </row>
    <row r="216" spans="3:6" ht="12.75" hidden="1">
      <c r="C216" s="166"/>
      <c r="D216" s="135"/>
      <c r="E216" s="166"/>
      <c r="F216" s="172"/>
    </row>
    <row r="217" spans="3:6" ht="12.75" hidden="1">
      <c r="C217" s="166"/>
      <c r="D217" s="135"/>
      <c r="E217" s="166"/>
      <c r="F217" s="172"/>
    </row>
    <row r="218" spans="1:6" ht="12.75" hidden="1">
      <c r="A218" s="180" t="s">
        <v>135</v>
      </c>
      <c r="B218" s="114" t="s">
        <v>136</v>
      </c>
      <c r="C218" s="166"/>
      <c r="D218" s="135"/>
      <c r="E218" s="166"/>
      <c r="F218" s="172"/>
    </row>
    <row r="219" spans="2:7" ht="12.75" hidden="1">
      <c r="B219" s="142" t="s">
        <v>349</v>
      </c>
      <c r="C219" s="169">
        <f>(C109+C115+C121+C131+C171+C187)*0.0765</f>
        <v>2417.4</v>
      </c>
      <c r="D219" s="171">
        <f>'[2]Profit and Loss (2)'!B92+'[2]Profit and Loss (2)'!B103</f>
        <v>1792.33</v>
      </c>
      <c r="E219" s="169">
        <f>(E109+E115+E121+E131+E187)*0.0765</f>
        <v>2532.15</v>
      </c>
      <c r="F219" s="165" t="e">
        <f>E219-#REF!</f>
        <v>#REF!</v>
      </c>
      <c r="G219" s="133">
        <f>E219</f>
        <v>2532.15</v>
      </c>
    </row>
    <row r="220" spans="2:7" ht="12.75" hidden="1">
      <c r="B220" s="142" t="s">
        <v>350</v>
      </c>
      <c r="C220" s="146">
        <v>48</v>
      </c>
      <c r="D220" s="171">
        <v>0</v>
      </c>
      <c r="E220" s="146">
        <v>50</v>
      </c>
      <c r="F220" s="165" t="e">
        <f>E220-#REF!</f>
        <v>#REF!</v>
      </c>
      <c r="G220" s="133">
        <f>E220</f>
        <v>50</v>
      </c>
    </row>
    <row r="221" spans="3:6" ht="12.75">
      <c r="C221" s="166"/>
      <c r="D221" s="135"/>
      <c r="E221" s="166"/>
      <c r="F221" s="172"/>
    </row>
    <row r="222" spans="3:6" ht="12.75">
      <c r="C222" s="166"/>
      <c r="D222" s="135"/>
      <c r="E222" s="166"/>
      <c r="F222" s="172"/>
    </row>
    <row r="223" spans="1:8" ht="12.75">
      <c r="A223" s="114">
        <v>484</v>
      </c>
      <c r="B223" s="114" t="s">
        <v>123</v>
      </c>
      <c r="C223" s="166"/>
      <c r="D223" s="135"/>
      <c r="E223" s="166"/>
      <c r="F223" s="172"/>
      <c r="H223" s="177"/>
    </row>
    <row r="224" spans="2:7" ht="12.75">
      <c r="B224" s="142" t="s">
        <v>351</v>
      </c>
      <c r="C224" s="146">
        <v>3500</v>
      </c>
      <c r="D224" s="171">
        <f>'[2]Profit and Loss (2)'!B95</f>
        <v>3248</v>
      </c>
      <c r="E224" s="146">
        <v>3600</v>
      </c>
      <c r="F224" s="165" t="e">
        <f>E224-#REF!</f>
        <v>#REF!</v>
      </c>
      <c r="G224" s="133">
        <f>E224</f>
        <v>3600</v>
      </c>
    </row>
    <row r="225" spans="2:7" ht="12.75">
      <c r="B225" s="142" t="s">
        <v>352</v>
      </c>
      <c r="C225" s="146">
        <v>1950</v>
      </c>
      <c r="D225" s="171">
        <f>'[2]Profit and Loss (2)'!B94</f>
        <v>1923</v>
      </c>
      <c r="E225" s="146">
        <v>2000</v>
      </c>
      <c r="F225" s="165" t="e">
        <f>E225-#REF!</f>
        <v>#REF!</v>
      </c>
      <c r="G225" s="133">
        <f>E225</f>
        <v>2000</v>
      </c>
    </row>
    <row r="226" spans="2:7" ht="12.75">
      <c r="B226" s="142" t="s">
        <v>353</v>
      </c>
      <c r="C226" s="146">
        <v>3210</v>
      </c>
      <c r="D226" s="171">
        <f>'[2]Profit and Loss (2)'!B93</f>
        <v>2926</v>
      </c>
      <c r="E226" s="146">
        <v>3300</v>
      </c>
      <c r="F226" s="165" t="e">
        <f>E226-#REF!</f>
        <v>#REF!</v>
      </c>
      <c r="G226" s="133">
        <f>E226</f>
        <v>3300</v>
      </c>
    </row>
    <row r="227" spans="2:7" ht="12.75">
      <c r="B227" s="114"/>
      <c r="C227" s="166"/>
      <c r="D227" s="135"/>
      <c r="E227" s="166"/>
      <c r="F227" s="181"/>
      <c r="G227" s="182"/>
    </row>
    <row r="228" spans="3:6" ht="12.75">
      <c r="C228" s="166"/>
      <c r="D228" s="135"/>
      <c r="E228" s="166"/>
      <c r="F228" s="181"/>
    </row>
    <row r="229" spans="1:6" ht="12.75">
      <c r="A229" s="114">
        <v>455</v>
      </c>
      <c r="B229" s="114" t="s">
        <v>131</v>
      </c>
      <c r="C229" s="166"/>
      <c r="D229" s="135"/>
      <c r="E229" s="166"/>
      <c r="F229" s="172"/>
    </row>
    <row r="230" spans="2:7" ht="12.75">
      <c r="B230" s="142" t="s">
        <v>355</v>
      </c>
      <c r="C230" s="146">
        <f>C91</f>
        <v>21489</v>
      </c>
      <c r="D230" s="171">
        <v>0</v>
      </c>
      <c r="E230" s="146">
        <f>E91+E92</f>
        <v>22619.16</v>
      </c>
      <c r="F230" s="165"/>
      <c r="G230" s="133"/>
    </row>
    <row r="231" spans="2:9" ht="12.75">
      <c r="B231" s="142" t="s">
        <v>356</v>
      </c>
      <c r="C231" s="146"/>
      <c r="D231" s="171">
        <f>'[2]Profit and Loss (2)'!B101</f>
        <v>16038.09</v>
      </c>
      <c r="E231" s="146">
        <v>0</v>
      </c>
      <c r="F231" s="165"/>
      <c r="G231" s="133"/>
      <c r="I231" s="145"/>
    </row>
    <row r="232" spans="2:8" ht="12.75">
      <c r="B232" s="142" t="s">
        <v>357</v>
      </c>
      <c r="C232" s="146"/>
      <c r="D232" s="171">
        <v>0</v>
      </c>
      <c r="E232" s="146">
        <v>0</v>
      </c>
      <c r="F232" s="165" t="e">
        <f>E232-#REF!</f>
        <v>#REF!</v>
      </c>
      <c r="G232" s="133">
        <f aca="true" t="shared" si="5" ref="G232:G237">E232</f>
        <v>0</v>
      </c>
      <c r="H232" s="115" t="s">
        <v>354</v>
      </c>
    </row>
    <row r="233" spans="2:8" ht="12.75">
      <c r="B233" s="142" t="s">
        <v>358</v>
      </c>
      <c r="C233" s="146"/>
      <c r="D233" s="171">
        <v>0</v>
      </c>
      <c r="E233" s="146">
        <v>0</v>
      </c>
      <c r="F233" s="165" t="e">
        <f>E233-#REF!</f>
        <v>#REF!</v>
      </c>
      <c r="G233" s="133">
        <f t="shared" si="5"/>
        <v>0</v>
      </c>
      <c r="H233" s="115" t="s">
        <v>354</v>
      </c>
    </row>
    <row r="234" spans="3:7" ht="12.75">
      <c r="C234" s="166"/>
      <c r="D234" s="135"/>
      <c r="E234" s="166"/>
      <c r="F234" s="172"/>
      <c r="G234" s="182">
        <f t="shared" si="5"/>
        <v>0</v>
      </c>
    </row>
    <row r="235" spans="1:7" ht="12.75">
      <c r="A235" s="114">
        <v>492</v>
      </c>
      <c r="B235" s="141" t="s">
        <v>359</v>
      </c>
      <c r="C235" s="146">
        <f>730*12</f>
        <v>8760</v>
      </c>
      <c r="D235" s="171">
        <v>0</v>
      </c>
      <c r="E235" s="146">
        <f>E10</f>
        <v>8760</v>
      </c>
      <c r="F235" s="172"/>
      <c r="G235" s="133">
        <f t="shared" si="5"/>
        <v>8760</v>
      </c>
    </row>
    <row r="236" spans="3:7" ht="12.75">
      <c r="C236" s="166"/>
      <c r="D236" s="135"/>
      <c r="E236" s="166"/>
      <c r="F236" s="172"/>
      <c r="G236" s="116">
        <f t="shared" si="5"/>
        <v>0</v>
      </c>
    </row>
    <row r="237" spans="1:7" ht="12.75">
      <c r="A237" s="114">
        <v>500</v>
      </c>
      <c r="B237" s="141" t="s">
        <v>360</v>
      </c>
      <c r="C237" s="146"/>
      <c r="D237" s="171">
        <v>0</v>
      </c>
      <c r="E237" s="146">
        <v>0</v>
      </c>
      <c r="F237" s="183"/>
      <c r="G237" s="133">
        <f t="shared" si="5"/>
        <v>0</v>
      </c>
    </row>
    <row r="238" spans="3:6" ht="12.75">
      <c r="C238" s="166"/>
      <c r="D238" s="135"/>
      <c r="E238" s="166"/>
      <c r="F238" s="165" t="e">
        <f>E238-#REF!</f>
        <v>#REF!</v>
      </c>
    </row>
    <row r="239" spans="3:6" ht="12.75">
      <c r="C239" s="166"/>
      <c r="D239" s="135"/>
      <c r="E239" s="166"/>
      <c r="F239" s="165" t="e">
        <f>E239-#REF!</f>
        <v>#REF!</v>
      </c>
    </row>
    <row r="240" spans="3:7" ht="12.75">
      <c r="C240" s="184"/>
      <c r="D240" s="149"/>
      <c r="E240" s="184"/>
      <c r="F240" s="185"/>
      <c r="G240" s="184"/>
    </row>
    <row r="241" spans="2:9" ht="12.75">
      <c r="B241" s="152" t="s">
        <v>361</v>
      </c>
      <c r="C241" s="155">
        <f>SUM(C109:C239)</f>
        <v>253232.68</v>
      </c>
      <c r="D241" s="155">
        <f>SUM(D109:D239)</f>
        <v>199423.87</v>
      </c>
      <c r="E241" s="155">
        <f>SUM(E109:E239)</f>
        <v>261861.66999999998</v>
      </c>
      <c r="F241" s="155" t="e">
        <f>SUM(F109:F239)</f>
        <v>#REF!</v>
      </c>
      <c r="G241" s="150">
        <f>SUM(G109:G239)</f>
        <v>221827.50999999998</v>
      </c>
      <c r="H241" s="186"/>
      <c r="I241" s="147"/>
    </row>
    <row r="242" spans="2:7" ht="12.75">
      <c r="B242" s="152" t="s">
        <v>524</v>
      </c>
      <c r="C242" s="187">
        <f>SUM(+C232+C233+C235+C168+C230+C179+C231)</f>
        <v>77791</v>
      </c>
      <c r="D242" s="187">
        <f>SUM(D232+D233+D235+D168+D230+D179+D231)</f>
        <v>56026.66</v>
      </c>
      <c r="E242" s="187">
        <f>E230+E235</f>
        <v>31379.16</v>
      </c>
      <c r="F242" s="187" t="e">
        <f>F239+F238+F233+F168+#REF!+#REF!+#REF!+#REF!+F232</f>
        <v>#REF!</v>
      </c>
      <c r="G242" s="150" t="e">
        <f>G239+G238+G233+G168+#REF!+#REF!+#REF!+#REF!+G232</f>
        <v>#REF!</v>
      </c>
    </row>
    <row r="243" spans="2:7" ht="12.75">
      <c r="B243" s="152" t="s">
        <v>525</v>
      </c>
      <c r="C243" s="188"/>
      <c r="D243" s="188"/>
      <c r="E243" s="188">
        <f>E168</f>
        <v>2735</v>
      </c>
      <c r="F243" s="188"/>
      <c r="G243" s="164"/>
    </row>
    <row r="244" spans="2:7" ht="12.75">
      <c r="B244" s="152" t="s">
        <v>526</v>
      </c>
      <c r="C244" s="188"/>
      <c r="D244" s="188"/>
      <c r="E244" s="188">
        <f>E179+E180</f>
        <v>49694.24</v>
      </c>
      <c r="F244" s="188"/>
      <c r="G244" s="164"/>
    </row>
    <row r="245" spans="2:7" ht="13.5" thickBot="1">
      <c r="B245" s="152" t="s">
        <v>362</v>
      </c>
      <c r="C245" s="189">
        <f>C241-C242</f>
        <v>175441.68</v>
      </c>
      <c r="D245" s="189">
        <f>D241-D242</f>
        <v>143397.21</v>
      </c>
      <c r="E245" s="189">
        <f>E241-E242-E244-E243</f>
        <v>178053.27</v>
      </c>
      <c r="F245" s="189" t="e">
        <f>F241-F242</f>
        <v>#REF!</v>
      </c>
      <c r="G245" s="190" t="e">
        <f>G241-G242</f>
        <v>#REF!</v>
      </c>
    </row>
    <row r="246" ht="13.5" thickTop="1">
      <c r="C246" s="117"/>
    </row>
    <row r="247" ht="12.75">
      <c r="C247" s="117"/>
    </row>
    <row r="248" spans="2:8" ht="12.75">
      <c r="B248" s="115" t="s">
        <v>363</v>
      </c>
      <c r="C248" s="191">
        <f>C95-C241</f>
        <v>2.320000000006985</v>
      </c>
      <c r="D248" s="191">
        <f>D95-D241</f>
        <v>40456.76999999996</v>
      </c>
      <c r="E248" s="192">
        <f>E241-E95</f>
        <v>-0.26200000004610047</v>
      </c>
      <c r="F248" s="192" t="e">
        <f>F95-F241</f>
        <v>#REF!</v>
      </c>
      <c r="G248" s="193">
        <f>G95-G241</f>
        <v>23674.42200000005</v>
      </c>
      <c r="H248" s="147"/>
    </row>
    <row r="249" spans="2:7" ht="12.75">
      <c r="B249" s="115" t="s">
        <v>527</v>
      </c>
      <c r="C249" s="192">
        <f>C96-C242</f>
        <v>-7554</v>
      </c>
      <c r="D249" s="192">
        <f>D96-D242</f>
        <v>9078.829999999994</v>
      </c>
      <c r="E249" s="192">
        <f>E96-E242</f>
        <v>0</v>
      </c>
      <c r="F249" s="192" t="e">
        <f>F96-F242</f>
        <v>#REF!</v>
      </c>
      <c r="G249" s="193" t="e">
        <f>G96-G242</f>
        <v>#REF!</v>
      </c>
    </row>
    <row r="250" spans="2:7" ht="12.75">
      <c r="B250" s="115" t="s">
        <v>528</v>
      </c>
      <c r="C250" s="194"/>
      <c r="D250" s="194"/>
      <c r="E250" s="194">
        <f>E97-E243</f>
        <v>0</v>
      </c>
      <c r="F250" s="194"/>
      <c r="G250" s="193"/>
    </row>
    <row r="251" spans="2:7" ht="12.75">
      <c r="B251" s="115" t="s">
        <v>529</v>
      </c>
      <c r="C251" s="194"/>
      <c r="D251" s="194"/>
      <c r="E251" s="194">
        <f>E98-E244</f>
        <v>-3694.239999999998</v>
      </c>
      <c r="F251" s="194"/>
      <c r="G251" s="193"/>
    </row>
    <row r="252" spans="2:7" ht="13.5" thickBot="1">
      <c r="B252" s="115" t="s">
        <v>364</v>
      </c>
      <c r="C252" s="189">
        <f>C248-C249</f>
        <v>7556.320000000007</v>
      </c>
      <c r="D252" s="189">
        <f>D248-D249</f>
        <v>31377.939999999966</v>
      </c>
      <c r="E252" s="195">
        <f>E99-E245</f>
        <v>3694.502000000037</v>
      </c>
      <c r="F252" s="195" t="e">
        <f>F99-F245</f>
        <v>#REF!</v>
      </c>
      <c r="G252" s="193" t="e">
        <f>G99-G245</f>
        <v>#REF!</v>
      </c>
    </row>
    <row r="253" ht="13.5" thickTop="1">
      <c r="C253" s="196"/>
    </row>
    <row r="254" ht="12.75">
      <c r="E254" s="196"/>
    </row>
    <row r="256" spans="3:5" ht="12.75">
      <c r="C256" s="197"/>
      <c r="E256" s="196"/>
    </row>
    <row r="257" ht="12.75">
      <c r="F257" s="196"/>
    </row>
    <row r="262" ht="12.75">
      <c r="E262" s="196"/>
    </row>
    <row r="264" ht="12.75">
      <c r="E264" s="196"/>
    </row>
  </sheetData>
  <sheetProtection/>
  <mergeCells count="2">
    <mergeCell ref="A2:G3"/>
    <mergeCell ref="A102:G103"/>
  </mergeCells>
  <printOptions/>
  <pageMargins left="0.75" right="0.75" top="1" bottom="1" header="0.5" footer="0.5"/>
  <pageSetup fitToHeight="3" fitToWidth="1" horizontalDpi="600" verticalDpi="600" orientation="landscape" scale="70" r:id="rId1"/>
  <rowBreaks count="2" manualBreakCount="2">
    <brk id="199" max="255" man="1"/>
    <brk id="2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6">
      <selection activeCell="B25" sqref="B25"/>
    </sheetView>
  </sheetViews>
  <sheetFormatPr defaultColWidth="9.140625" defaultRowHeight="12.75"/>
  <cols>
    <col min="1" max="1" width="49.421875" style="0" bestFit="1" customWidth="1"/>
    <col min="2" max="2" width="8.8515625" style="111" customWidth="1"/>
  </cols>
  <sheetData>
    <row r="1" ht="14.25">
      <c r="A1" t="s">
        <v>144</v>
      </c>
    </row>
    <row r="2" ht="14.25">
      <c r="A2" t="s">
        <v>146</v>
      </c>
    </row>
    <row r="3" spans="1:4" ht="14.25">
      <c r="A3" t="s">
        <v>533</v>
      </c>
      <c r="D3" s="219"/>
    </row>
    <row r="5" ht="14.25">
      <c r="B5" s="111" t="s">
        <v>147</v>
      </c>
    </row>
    <row r="6" ht="14.25">
      <c r="A6" t="s">
        <v>148</v>
      </c>
    </row>
    <row r="7" spans="1:2" ht="14.25">
      <c r="A7" t="s">
        <v>365</v>
      </c>
      <c r="B7" s="111">
        <v>2116.4</v>
      </c>
    </row>
    <row r="8" spans="1:2" ht="14.25">
      <c r="A8" t="s">
        <v>366</v>
      </c>
      <c r="B8" s="111">
        <v>500.78</v>
      </c>
    </row>
    <row r="9" spans="1:2" ht="14.25">
      <c r="A9" t="s">
        <v>367</v>
      </c>
      <c r="B9" s="111">
        <v>5.5</v>
      </c>
    </row>
    <row r="10" spans="1:2" ht="14.25">
      <c r="A10" t="s">
        <v>368</v>
      </c>
      <c r="B10" s="111">
        <v>6856.14</v>
      </c>
    </row>
    <row r="11" spans="1:2" ht="14.25">
      <c r="A11" t="s">
        <v>534</v>
      </c>
      <c r="B11" s="111">
        <v>50</v>
      </c>
    </row>
    <row r="12" spans="1:2" ht="14.25">
      <c r="A12" t="s">
        <v>369</v>
      </c>
      <c r="B12" s="111">
        <v>235.15</v>
      </c>
    </row>
    <row r="13" spans="1:2" ht="14.25">
      <c r="A13" t="s">
        <v>370</v>
      </c>
      <c r="B13" s="111">
        <v>196.87</v>
      </c>
    </row>
    <row r="14" spans="1:2" ht="14.25">
      <c r="A14" t="s">
        <v>371</v>
      </c>
      <c r="B14" s="111">
        <v>69.32</v>
      </c>
    </row>
    <row r="15" spans="1:2" ht="14.25">
      <c r="A15" t="s">
        <v>372</v>
      </c>
      <c r="B15" s="111">
        <v>21.98</v>
      </c>
    </row>
    <row r="16" spans="1:2" ht="14.25">
      <c r="A16" t="s">
        <v>373</v>
      </c>
      <c r="B16" s="111">
        <v>91.3</v>
      </c>
    </row>
    <row r="17" spans="1:2" ht="14.25">
      <c r="A17" t="s">
        <v>535</v>
      </c>
      <c r="B17" s="111">
        <v>800</v>
      </c>
    </row>
    <row r="18" spans="1:2" ht="14.25">
      <c r="A18" t="s">
        <v>374</v>
      </c>
      <c r="B18" s="111">
        <v>235.16</v>
      </c>
    </row>
    <row r="19" spans="1:2" ht="14.25">
      <c r="A19" t="s">
        <v>375</v>
      </c>
      <c r="B19" s="111">
        <v>790.32</v>
      </c>
    </row>
    <row r="20" spans="1:2" ht="14.25">
      <c r="A20" t="s">
        <v>376</v>
      </c>
      <c r="B20" s="111">
        <v>2548.26</v>
      </c>
    </row>
    <row r="21" spans="1:2" ht="14.25">
      <c r="A21" t="s">
        <v>536</v>
      </c>
      <c r="B21" s="111">
        <v>23071.62</v>
      </c>
    </row>
    <row r="22" spans="1:2" ht="14.25">
      <c r="A22" t="s">
        <v>377</v>
      </c>
      <c r="B22" s="111">
        <v>81.95</v>
      </c>
    </row>
    <row r="23" spans="1:2" ht="14.25">
      <c r="A23" t="s">
        <v>378</v>
      </c>
      <c r="B23" s="111">
        <v>55</v>
      </c>
    </row>
    <row r="24" spans="1:2" ht="14.25">
      <c r="A24" t="s">
        <v>379</v>
      </c>
      <c r="B24" s="111">
        <v>55.64</v>
      </c>
    </row>
    <row r="25" spans="1:2" ht="14.25">
      <c r="A25" t="s">
        <v>155</v>
      </c>
      <c r="B25" s="111">
        <v>37690.09</v>
      </c>
    </row>
    <row r="26" spans="1:2" ht="14.25">
      <c r="A26" t="s">
        <v>380</v>
      </c>
      <c r="B26" s="111">
        <v>37690.09</v>
      </c>
    </row>
    <row r="27" ht="14.25">
      <c r="A27" t="s">
        <v>156</v>
      </c>
    </row>
    <row r="28" spans="1:2" ht="14.25">
      <c r="A28" t="s">
        <v>381</v>
      </c>
      <c r="B28" s="111">
        <v>1125</v>
      </c>
    </row>
    <row r="29" spans="1:2" ht="14.25">
      <c r="A29" t="s">
        <v>382</v>
      </c>
      <c r="B29" s="111">
        <v>300</v>
      </c>
    </row>
    <row r="30" spans="1:2" ht="14.25">
      <c r="A30" t="s">
        <v>383</v>
      </c>
      <c r="B30" s="111">
        <v>988</v>
      </c>
    </row>
    <row r="31" spans="1:2" ht="14.25">
      <c r="A31" t="s">
        <v>384</v>
      </c>
      <c r="B31" s="111">
        <v>300</v>
      </c>
    </row>
    <row r="32" spans="1:2" ht="14.25">
      <c r="A32" t="s">
        <v>498</v>
      </c>
      <c r="B32" s="111">
        <v>50</v>
      </c>
    </row>
    <row r="33" spans="1:2" ht="14.25">
      <c r="A33" t="s">
        <v>385</v>
      </c>
      <c r="B33" s="111">
        <v>750</v>
      </c>
    </row>
    <row r="34" spans="1:2" ht="14.25">
      <c r="A34" t="s">
        <v>386</v>
      </c>
      <c r="B34" s="111">
        <v>323</v>
      </c>
    </row>
    <row r="35" spans="1:2" ht="14.25">
      <c r="A35" t="s">
        <v>387</v>
      </c>
      <c r="B35" s="111">
        <v>1776</v>
      </c>
    </row>
    <row r="36" spans="1:2" ht="14.25">
      <c r="A36" t="s">
        <v>388</v>
      </c>
      <c r="B36" s="111">
        <v>77.61</v>
      </c>
    </row>
    <row r="37" spans="1:2" ht="14.25">
      <c r="A37" t="s">
        <v>389</v>
      </c>
      <c r="B37" s="111">
        <v>507.06</v>
      </c>
    </row>
    <row r="38" spans="1:2" ht="14.25">
      <c r="A38" t="s">
        <v>390</v>
      </c>
      <c r="B38" s="111">
        <v>130.87</v>
      </c>
    </row>
    <row r="39" spans="1:2" ht="14.25">
      <c r="A39" t="s">
        <v>537</v>
      </c>
      <c r="B39" s="111">
        <v>177.8</v>
      </c>
    </row>
    <row r="40" spans="1:2" ht="14.25">
      <c r="A40" t="s">
        <v>538</v>
      </c>
      <c r="B40" s="111">
        <v>62.36</v>
      </c>
    </row>
    <row r="41" spans="1:2" ht="14.25">
      <c r="A41" t="s">
        <v>391</v>
      </c>
      <c r="B41" s="111">
        <v>99.9</v>
      </c>
    </row>
    <row r="42" spans="1:2" ht="14.25">
      <c r="A42" t="s">
        <v>392</v>
      </c>
      <c r="B42" s="111">
        <v>206.26</v>
      </c>
    </row>
    <row r="43" spans="1:2" ht="14.25">
      <c r="A43" t="s">
        <v>393</v>
      </c>
      <c r="B43" s="111">
        <v>436.83</v>
      </c>
    </row>
    <row r="44" spans="1:2" ht="14.25">
      <c r="A44" t="s">
        <v>394</v>
      </c>
      <c r="B44" s="111">
        <v>600.47</v>
      </c>
    </row>
    <row r="45" spans="1:2" ht="14.25">
      <c r="A45" t="s">
        <v>395</v>
      </c>
      <c r="B45" s="111">
        <v>607.5</v>
      </c>
    </row>
    <row r="46" spans="1:2" ht="14.25">
      <c r="A46" t="s">
        <v>396</v>
      </c>
      <c r="B46" s="111">
        <v>213.63</v>
      </c>
    </row>
    <row r="47" spans="1:2" ht="14.25">
      <c r="A47" t="s">
        <v>539</v>
      </c>
      <c r="B47" s="111">
        <v>319.42</v>
      </c>
    </row>
    <row r="48" spans="1:2" ht="14.25">
      <c r="A48" t="s">
        <v>397</v>
      </c>
      <c r="B48" s="111">
        <v>1328.81</v>
      </c>
    </row>
    <row r="49" spans="1:2" ht="14.25">
      <c r="A49" t="s">
        <v>398</v>
      </c>
      <c r="B49" s="111">
        <v>1700.93</v>
      </c>
    </row>
    <row r="50" spans="1:2" ht="14.25">
      <c r="A50" t="s">
        <v>399</v>
      </c>
      <c r="B50" s="111">
        <v>1399.79</v>
      </c>
    </row>
    <row r="51" spans="1:2" ht="14.25">
      <c r="A51" t="s">
        <v>400</v>
      </c>
      <c r="B51" s="111">
        <v>12209.38</v>
      </c>
    </row>
    <row r="52" spans="1:2" ht="14.25">
      <c r="A52" t="s">
        <v>401</v>
      </c>
      <c r="B52" s="111">
        <v>1462.33</v>
      </c>
    </row>
    <row r="53" spans="1:2" ht="14.25">
      <c r="A53" t="s">
        <v>402</v>
      </c>
      <c r="B53" s="111">
        <v>343</v>
      </c>
    </row>
    <row r="54" spans="1:2" ht="14.25">
      <c r="A54" t="s">
        <v>540</v>
      </c>
      <c r="B54" s="111">
        <v>346</v>
      </c>
    </row>
    <row r="55" spans="1:2" ht="14.25">
      <c r="A55" t="s">
        <v>541</v>
      </c>
      <c r="B55" s="111">
        <v>2302</v>
      </c>
    </row>
    <row r="56" spans="1:2" ht="14.25">
      <c r="A56" t="s">
        <v>403</v>
      </c>
      <c r="B56" s="111">
        <v>196.88</v>
      </c>
    </row>
    <row r="57" spans="1:2" ht="14.25">
      <c r="A57" t="s">
        <v>404</v>
      </c>
      <c r="B57" s="111">
        <v>7449.04</v>
      </c>
    </row>
    <row r="58" spans="1:2" ht="14.25">
      <c r="A58" t="s">
        <v>542</v>
      </c>
      <c r="B58" s="111">
        <v>2488.32</v>
      </c>
    </row>
    <row r="59" ht="14.25">
      <c r="A59" t="s">
        <v>405</v>
      </c>
    </row>
    <row r="60" spans="1:2" ht="14.25">
      <c r="A60" t="s">
        <v>406</v>
      </c>
      <c r="B60" s="111">
        <v>5.73</v>
      </c>
    </row>
    <row r="61" spans="1:2" ht="14.25">
      <c r="A61" t="s">
        <v>407</v>
      </c>
      <c r="B61" s="111">
        <v>0</v>
      </c>
    </row>
    <row r="62" spans="1:2" ht="14.25">
      <c r="A62" t="s">
        <v>408</v>
      </c>
      <c r="B62" s="111">
        <v>5.73</v>
      </c>
    </row>
    <row r="63" spans="1:2" ht="14.25">
      <c r="A63" t="s">
        <v>409</v>
      </c>
      <c r="B63" s="111">
        <v>0</v>
      </c>
    </row>
    <row r="64" spans="1:2" ht="14.25">
      <c r="A64" t="s">
        <v>159</v>
      </c>
      <c r="B64" s="111">
        <v>40283.92</v>
      </c>
    </row>
    <row r="65" spans="1:2" ht="14.25">
      <c r="A65" t="s">
        <v>410</v>
      </c>
      <c r="B65" s="111">
        <v>-2593.8300000000017</v>
      </c>
    </row>
    <row r="66" ht="14.25">
      <c r="A66" t="s">
        <v>411</v>
      </c>
    </row>
    <row r="67" spans="1:2" ht="14.25">
      <c r="A67" t="s">
        <v>412</v>
      </c>
      <c r="B67" s="111">
        <v>0.02</v>
      </c>
    </row>
    <row r="68" spans="1:2" ht="14.25">
      <c r="A68" t="s">
        <v>413</v>
      </c>
      <c r="B68" s="111">
        <v>0.02</v>
      </c>
    </row>
    <row r="69" spans="1:2" ht="14.25">
      <c r="A69" t="s">
        <v>414</v>
      </c>
      <c r="B69" s="111">
        <v>-0.02</v>
      </c>
    </row>
    <row r="70" spans="1:2" ht="14.25">
      <c r="A70" t="s">
        <v>415</v>
      </c>
      <c r="B70" s="111">
        <v>-2593.8500000000017</v>
      </c>
    </row>
    <row r="74" ht="14.25">
      <c r="A74" t="s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Brubaker</dc:creator>
  <cp:keywords/>
  <dc:description/>
  <cp:lastModifiedBy>Dana Brubaker</cp:lastModifiedBy>
  <cp:lastPrinted>2016-12-12T22:29:15Z</cp:lastPrinted>
  <dcterms:created xsi:type="dcterms:W3CDTF">2016-11-12T20:53:29Z</dcterms:created>
  <dcterms:modified xsi:type="dcterms:W3CDTF">2017-03-19T02:06:52Z</dcterms:modified>
  <cp:category/>
  <cp:version/>
  <cp:contentType/>
  <cp:contentStatus/>
</cp:coreProperties>
</file>